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30" windowWidth="9480" windowHeight="3195" tabRatio="843"/>
  </bookViews>
  <sheets>
    <sheet name="Forside" sheetId="34" r:id="rId1"/>
    <sheet name="Hovedark" sheetId="1" r:id="rId2"/>
    <sheet name="Undervisningsregnskap" sheetId="4" r:id="rId3"/>
    <sheet name="U. timer" sheetId="35" r:id="rId4"/>
    <sheet name="FU Særs kostn" sheetId="25" r:id="rId5"/>
    <sheet name="Tekn ass" sheetId="19" r:id="rId6"/>
    <sheet name="Rekr still" sheetId="18" r:id="rId7"/>
    <sheet name="Vit utstyr" sheetId="17" r:id="rId8"/>
    <sheet name="Forskerlinj-utd" sheetId="16" r:id="rId9"/>
    <sheet name="FoF Resultat" sheetId="36" r:id="rId10"/>
    <sheet name="FoF Særs kost" sheetId="11" r:id="rId11"/>
    <sheet name="FoF midl satsn" sheetId="9" r:id="rId12"/>
    <sheet name="Samfunsoppd" sheetId="33" r:id="rId13"/>
    <sheet name="Lokal adm" sheetId="26" r:id="rId14"/>
    <sheet name="Fellesadm" sheetId="27" r:id="rId15"/>
    <sheet name="Sheet1" sheetId="37" r:id="rId16"/>
  </sheets>
  <definedNames>
    <definedName name="ikke_lab_andel">'Tekn ass'!$E$6:$E$13</definedName>
    <definedName name="Lab_andel">'Tekn ass'!$C$6:$C$13</definedName>
    <definedName name="netto_arsverk">'Tekn ass'!$H$6:$H$13</definedName>
    <definedName name="_xlnm.Print_Area" localSheetId="14">Fellesadm!$A$2:$E$41</definedName>
    <definedName name="_xlnm.Print_Area" localSheetId="1">Hovedark!$A$1:$V$30</definedName>
    <definedName name="_xlnm.Print_Area" localSheetId="3">'U. timer'!$A$1:$N$42</definedName>
    <definedName name="_xlnm.Print_Area" localSheetId="2">Undervisningsregnskap!$A$3:$F$25</definedName>
    <definedName name="_xlnm.Print_Titles" localSheetId="4">'FU Særs kostn'!$A:$A</definedName>
    <definedName name="_xlnm.Print_Titles" localSheetId="1">Hovedark!$A:$B,Hovedark!$3:$5</definedName>
  </definedNames>
  <calcPr calcId="145621"/>
</workbook>
</file>

<file path=xl/calcChain.xml><?xml version="1.0" encoding="utf-8"?>
<calcChain xmlns="http://schemas.openxmlformats.org/spreadsheetml/2006/main">
  <c r="L11" i="34" l="1"/>
  <c r="L9" i="34"/>
  <c r="L7" i="34"/>
  <c r="M19" i="34"/>
  <c r="M11" i="34"/>
  <c r="M9" i="34"/>
  <c r="M7" i="34"/>
  <c r="J19" i="34"/>
  <c r="J15" i="34"/>
  <c r="J13" i="34"/>
  <c r="J11" i="34"/>
  <c r="J9" i="34"/>
  <c r="J7" i="34"/>
  <c r="K57" i="36" l="1"/>
  <c r="K67" i="36" l="1"/>
  <c r="K65" i="36"/>
  <c r="K49" i="36"/>
  <c r="K47" i="36"/>
  <c r="K32" i="36"/>
  <c r="K30" i="36"/>
  <c r="H36" i="34" l="1"/>
  <c r="H6" i="1" l="1"/>
  <c r="F6" i="18"/>
  <c r="J12" i="1" l="1"/>
  <c r="J10" i="1"/>
  <c r="J8" i="1"/>
  <c r="J6" i="1"/>
  <c r="F18" i="11"/>
  <c r="J16" i="1" s="1"/>
  <c r="F16" i="11"/>
  <c r="J14" i="1" s="1"/>
  <c r="F14" i="11"/>
  <c r="F12" i="11"/>
  <c r="F10" i="11"/>
  <c r="F8" i="11"/>
  <c r="D20" i="11"/>
  <c r="D16" i="11"/>
  <c r="K16" i="1"/>
  <c r="K14" i="1"/>
  <c r="P16" i="9"/>
  <c r="P14" i="9"/>
  <c r="K18" i="9"/>
  <c r="B18" i="9"/>
  <c r="C18" i="9"/>
  <c r="E18" i="9"/>
  <c r="G18" i="9"/>
  <c r="H18" i="9"/>
  <c r="I18" i="9"/>
  <c r="J18" i="9"/>
  <c r="M18" i="9"/>
  <c r="N18" i="9"/>
  <c r="J15" i="36"/>
  <c r="J13" i="36"/>
  <c r="J32" i="36"/>
  <c r="J30" i="36"/>
  <c r="J49" i="36"/>
  <c r="J47" i="36"/>
  <c r="J67" i="36"/>
  <c r="J65" i="36"/>
  <c r="F18" i="18"/>
  <c r="H16" i="1" s="1"/>
  <c r="F16" i="18"/>
  <c r="H14" i="1" s="1"/>
  <c r="G15" i="34"/>
  <c r="G13" i="34"/>
  <c r="F15" i="34"/>
  <c r="F13" i="34"/>
  <c r="D15" i="34"/>
  <c r="D13" i="34"/>
  <c r="D19" i="1"/>
  <c r="E19" i="1"/>
  <c r="F19" i="1"/>
  <c r="N19" i="1"/>
  <c r="O19" i="1"/>
  <c r="P19" i="1"/>
  <c r="D18" i="1"/>
  <c r="E18" i="1"/>
  <c r="F18" i="1"/>
  <c r="M18" i="1"/>
  <c r="N18" i="1"/>
  <c r="O18" i="1"/>
  <c r="P18" i="1"/>
  <c r="Q18" i="1"/>
  <c r="U19" i="1"/>
  <c r="T19" i="1"/>
  <c r="S19" i="1"/>
  <c r="U18" i="1"/>
  <c r="T18" i="1"/>
  <c r="S18" i="1"/>
  <c r="R18" i="1"/>
  <c r="V18" i="1"/>
  <c r="V16" i="1"/>
  <c r="V14" i="1"/>
  <c r="Q16" i="1"/>
  <c r="Q14" i="1"/>
  <c r="G16" i="1"/>
  <c r="G14" i="1"/>
  <c r="E14" i="27" l="1"/>
  <c r="J13" i="25" l="1"/>
  <c r="C20" i="11"/>
  <c r="B10" i="27"/>
  <c r="D8" i="9"/>
  <c r="D18" i="9" s="1"/>
  <c r="D6" i="4" l="1"/>
  <c r="D10" i="4"/>
  <c r="D8" i="4"/>
  <c r="E11" i="36" l="1"/>
  <c r="E9" i="36"/>
  <c r="E7" i="36"/>
  <c r="J63" i="36"/>
  <c r="J61" i="36"/>
  <c r="J59" i="36"/>
  <c r="J57" i="36"/>
  <c r="J45" i="36"/>
  <c r="J43" i="36"/>
  <c r="J41" i="36"/>
  <c r="J39" i="36"/>
  <c r="J28" i="36"/>
  <c r="J26" i="36"/>
  <c r="J24" i="36"/>
  <c r="J22" i="36"/>
  <c r="J11" i="36"/>
  <c r="J9" i="36"/>
  <c r="J7" i="36"/>
  <c r="J5" i="36"/>
  <c r="C7" i="17"/>
  <c r="B7" i="17"/>
  <c r="C11" i="17"/>
  <c r="B11" i="17"/>
  <c r="B9" i="17"/>
  <c r="M9" i="25"/>
  <c r="L12" i="9" l="1"/>
  <c r="L18" i="9" s="1"/>
  <c r="F10" i="9"/>
  <c r="F18" i="9" s="1"/>
  <c r="B10" i="11"/>
  <c r="M11" i="25"/>
  <c r="B14" i="11"/>
  <c r="K9" i="25"/>
  <c r="H11" i="25"/>
  <c r="G13" i="25"/>
  <c r="F13" i="25"/>
  <c r="F11" i="25"/>
  <c r="F9" i="25"/>
  <c r="D13" i="25"/>
  <c r="D9" i="25"/>
  <c r="C13" i="25"/>
  <c r="C9" i="25"/>
  <c r="B9" i="25"/>
  <c r="J18" i="1" l="1"/>
  <c r="J19" i="1"/>
  <c r="I15" i="25"/>
  <c r="C13" i="33" l="1"/>
  <c r="B13" i="33"/>
  <c r="D7" i="33"/>
  <c r="D9" i="33"/>
  <c r="D11" i="33"/>
  <c r="D5" i="33"/>
  <c r="D13" i="33" s="1"/>
  <c r="N13" i="25"/>
  <c r="H8" i="35" l="1"/>
  <c r="C23" i="18" l="1"/>
  <c r="C24" i="18"/>
  <c r="C25" i="18"/>
  <c r="B23" i="18"/>
  <c r="B25" i="18"/>
  <c r="B24" i="18"/>
  <c r="F14" i="18"/>
  <c r="F9" i="18"/>
  <c r="B6" i="26" l="1"/>
  <c r="O18" i="9" l="1"/>
  <c r="C9" i="17"/>
  <c r="B30" i="27" l="1"/>
  <c r="H69" i="36" l="1"/>
  <c r="I69" i="36"/>
  <c r="H51" i="36"/>
  <c r="I51" i="36"/>
  <c r="H34" i="36"/>
  <c r="I34" i="36"/>
  <c r="H17" i="36"/>
  <c r="I17" i="36"/>
  <c r="R12" i="1" l="1"/>
  <c r="R10" i="1"/>
  <c r="R8" i="1"/>
  <c r="P18" i="9" l="1"/>
  <c r="C69" i="36" l="1"/>
  <c r="C51" i="36"/>
  <c r="B71" i="36"/>
  <c r="B53" i="36"/>
  <c r="B35" i="36"/>
  <c r="B18" i="36"/>
  <c r="G69" i="36"/>
  <c r="F69" i="36"/>
  <c r="E69" i="36"/>
  <c r="D69" i="36"/>
  <c r="B69" i="36"/>
  <c r="J69" i="36" s="1"/>
  <c r="G51" i="36"/>
  <c r="F51" i="36"/>
  <c r="E51" i="36"/>
  <c r="D51" i="36"/>
  <c r="B51" i="36"/>
  <c r="G34" i="36"/>
  <c r="F34" i="36"/>
  <c r="E34" i="36"/>
  <c r="D34" i="36"/>
  <c r="C34" i="36"/>
  <c r="B34" i="36"/>
  <c r="J34" i="36" s="1"/>
  <c r="G17" i="36"/>
  <c r="F17" i="36"/>
  <c r="E17" i="36"/>
  <c r="D17" i="36"/>
  <c r="C17" i="36"/>
  <c r="J17" i="36" s="1"/>
  <c r="B17" i="36"/>
  <c r="K13" i="36" l="1"/>
  <c r="K15" i="36"/>
  <c r="K41" i="36"/>
  <c r="J51" i="36"/>
  <c r="K51" i="36" s="1"/>
  <c r="K69" i="36"/>
  <c r="K11" i="36"/>
  <c r="K43" i="36"/>
  <c r="K45" i="36"/>
  <c r="K5" i="36"/>
  <c r="I6" i="1" s="1"/>
  <c r="K59" i="36"/>
  <c r="K24" i="36"/>
  <c r="K26" i="36"/>
  <c r="K28" i="36"/>
  <c r="K61" i="36"/>
  <c r="K9" i="36"/>
  <c r="K63" i="36"/>
  <c r="K7" i="36"/>
  <c r="I16" i="1" l="1"/>
  <c r="L16" i="1" s="1"/>
  <c r="I14" i="1"/>
  <c r="L14" i="1" s="1"/>
  <c r="G36" i="34"/>
  <c r="K34" i="36"/>
  <c r="G32" i="34" s="1"/>
  <c r="K17" i="36"/>
  <c r="G29" i="34" s="1"/>
  <c r="I12" i="1"/>
  <c r="I10" i="1"/>
  <c r="I8" i="1"/>
  <c r="B14" i="1" l="1"/>
  <c r="E13" i="34"/>
  <c r="H13" i="34" s="1"/>
  <c r="B16" i="1"/>
  <c r="E15" i="34"/>
  <c r="H15" i="34" s="1"/>
  <c r="I18" i="1"/>
  <c r="I19" i="1"/>
  <c r="N15" i="25" l="1"/>
  <c r="O11" i="25" l="1"/>
  <c r="J14" i="35" l="1"/>
  <c r="D8" i="19" l="1"/>
  <c r="B8" i="19"/>
  <c r="O15" i="25" l="1"/>
  <c r="M15" i="25"/>
  <c r="L7" i="25"/>
  <c r="K15" i="25"/>
  <c r="J15" i="25"/>
  <c r="H15" i="25"/>
  <c r="D15" i="25"/>
  <c r="C15" i="25"/>
  <c r="G15" i="25"/>
  <c r="F15" i="25"/>
  <c r="B15" i="25"/>
  <c r="P6" i="9"/>
  <c r="F40" i="35"/>
  <c r="C13" i="17" l="1"/>
  <c r="B13" i="17"/>
  <c r="O8" i="9" s="1"/>
  <c r="P8" i="9" s="1"/>
  <c r="O10" i="9" l="1"/>
  <c r="P10" i="9" s="1"/>
  <c r="O12" i="9"/>
  <c r="P12" i="9" s="1"/>
  <c r="E17" i="27"/>
  <c r="K10" i="1" l="1"/>
  <c r="K12" i="1" l="1"/>
  <c r="L11" i="25" l="1"/>
  <c r="E11" i="25"/>
  <c r="E13" i="25"/>
  <c r="P11" i="25" l="1"/>
  <c r="D11" i="17"/>
  <c r="G12" i="19"/>
  <c r="D12" i="19"/>
  <c r="B12" i="19"/>
  <c r="G10" i="19"/>
  <c r="V10" i="1"/>
  <c r="K28" i="34" l="1"/>
  <c r="H14" i="35" l="1"/>
  <c r="I14" i="35"/>
  <c r="K14" i="35"/>
  <c r="E20" i="11" l="1"/>
  <c r="D20" i="18"/>
  <c r="B20" i="18"/>
  <c r="F38" i="35" l="1"/>
  <c r="M28" i="35"/>
  <c r="E28" i="35"/>
  <c r="H28" i="35"/>
  <c r="C42" i="35"/>
  <c r="B20" i="11"/>
  <c r="F20" i="11" s="1"/>
  <c r="B14" i="35"/>
  <c r="E14" i="35"/>
  <c r="B42" i="35"/>
  <c r="E12" i="19"/>
  <c r="D42" i="35"/>
  <c r="E42" i="35"/>
  <c r="K28" i="35"/>
  <c r="C28" i="35"/>
  <c r="L28" i="35"/>
  <c r="D28" i="35"/>
  <c r="O14" i="35"/>
  <c r="C14" i="35"/>
  <c r="P14" i="35"/>
  <c r="D14" i="35"/>
  <c r="C12" i="19"/>
  <c r="B14" i="19"/>
  <c r="E10" i="19"/>
  <c r="D14" i="19"/>
  <c r="F14" i="35"/>
  <c r="G14" i="35"/>
  <c r="L14" i="35"/>
  <c r="M14" i="35"/>
  <c r="I28" i="35"/>
  <c r="N28" i="35"/>
  <c r="F28" i="35"/>
  <c r="N14" i="35"/>
  <c r="J28" i="35"/>
  <c r="B28" i="35"/>
  <c r="G28" i="35"/>
  <c r="C10" i="19"/>
  <c r="F36" i="35"/>
  <c r="B16" i="16"/>
  <c r="F42" i="35" l="1"/>
  <c r="F11" i="18"/>
  <c r="F13" i="18"/>
  <c r="L13" i="25"/>
  <c r="P13" i="25" s="1"/>
  <c r="V12" i="1"/>
  <c r="D12" i="4"/>
  <c r="F8" i="18"/>
  <c r="B8" i="4"/>
  <c r="B10" i="4" l="1"/>
  <c r="F20" i="18"/>
  <c r="K35" i="34" l="1"/>
  <c r="K34" i="34"/>
  <c r="B17" i="19"/>
  <c r="B18" i="19"/>
  <c r="A18" i="19"/>
  <c r="A17" i="19"/>
  <c r="B16" i="19"/>
  <c r="A16" i="19"/>
  <c r="B14" i="4"/>
  <c r="C10" i="4" s="1"/>
  <c r="F12" i="19" s="1"/>
  <c r="H12" i="19" s="1"/>
  <c r="B15" i="4"/>
  <c r="B16" i="4"/>
  <c r="B17" i="4"/>
  <c r="A15" i="4"/>
  <c r="A16" i="4"/>
  <c r="A17" i="4"/>
  <c r="A14" i="4"/>
  <c r="G8" i="19"/>
  <c r="C8" i="19"/>
  <c r="E8" i="19"/>
  <c r="L9" i="25"/>
  <c r="L15" i="25" s="1"/>
  <c r="E7" i="25"/>
  <c r="P7" i="25" s="1"/>
  <c r="E9" i="25"/>
  <c r="D7" i="17"/>
  <c r="D13" i="17" s="1"/>
  <c r="C16" i="16"/>
  <c r="K6" i="1"/>
  <c r="B6" i="4"/>
  <c r="B4" i="4"/>
  <c r="C14" i="19"/>
  <c r="Q8" i="1"/>
  <c r="F7" i="34" s="1"/>
  <c r="K8" i="1"/>
  <c r="K18" i="1" s="1"/>
  <c r="K19" i="1" l="1"/>
  <c r="P9" i="25"/>
  <c r="P15" i="25" s="1"/>
  <c r="E15" i="25"/>
  <c r="J12" i="19"/>
  <c r="I12" i="19"/>
  <c r="E10" i="4"/>
  <c r="F10" i="4" s="1"/>
  <c r="C8" i="4"/>
  <c r="F10" i="19" s="1"/>
  <c r="H10" i="19" s="1"/>
  <c r="J10" i="19" s="1"/>
  <c r="E14" i="19"/>
  <c r="G11" i="34"/>
  <c r="G9" i="34"/>
  <c r="C4" i="4"/>
  <c r="E4" i="4" s="1"/>
  <c r="C6" i="1" s="1"/>
  <c r="R6" i="1"/>
  <c r="R19" i="1" s="1"/>
  <c r="K32" i="34"/>
  <c r="C6" i="4"/>
  <c r="F8" i="19" s="1"/>
  <c r="K12" i="19" l="1"/>
  <c r="H12" i="1" s="1"/>
  <c r="E8" i="4"/>
  <c r="F8" i="4" s="1"/>
  <c r="E6" i="1"/>
  <c r="G6" i="1" s="1"/>
  <c r="I10" i="19"/>
  <c r="K10" i="19" s="1"/>
  <c r="E10" i="1"/>
  <c r="P12" i="1"/>
  <c r="Q12" i="1" s="1"/>
  <c r="G14" i="19"/>
  <c r="M6" i="1"/>
  <c r="M19" i="1" s="1"/>
  <c r="F13" i="17"/>
  <c r="B12" i="4"/>
  <c r="V6" i="1"/>
  <c r="V19" i="1" s="1"/>
  <c r="E8" i="1"/>
  <c r="E6" i="4"/>
  <c r="F6" i="4" s="1"/>
  <c r="H8" i="19"/>
  <c r="Q10" i="1" l="1"/>
  <c r="F9" i="34" s="1"/>
  <c r="Q6" i="1"/>
  <c r="C12" i="4"/>
  <c r="G5" i="34"/>
  <c r="D5" i="34"/>
  <c r="V8" i="1"/>
  <c r="C8" i="1"/>
  <c r="J8" i="19"/>
  <c r="I8" i="19"/>
  <c r="F5" i="34" l="1"/>
  <c r="Q19" i="1"/>
  <c r="E12" i="1"/>
  <c r="H14" i="19"/>
  <c r="G17" i="34"/>
  <c r="F14" i="19"/>
  <c r="E12" i="4"/>
  <c r="C12" i="1"/>
  <c r="C10" i="1"/>
  <c r="G10" i="1" s="1"/>
  <c r="L6" i="1"/>
  <c r="G7" i="34"/>
  <c r="K8" i="19"/>
  <c r="H8" i="1" s="1"/>
  <c r="G8" i="1"/>
  <c r="C18" i="1" l="1"/>
  <c r="C19" i="1"/>
  <c r="G12" i="1"/>
  <c r="G19" i="1" s="1"/>
  <c r="F11" i="34"/>
  <c r="F17" i="34"/>
  <c r="J14" i="19"/>
  <c r="H10" i="1"/>
  <c r="L10" i="1" s="1"/>
  <c r="I14" i="19"/>
  <c r="F12" i="4"/>
  <c r="E5" i="34"/>
  <c r="B6" i="1"/>
  <c r="D7" i="34"/>
  <c r="G18" i="1" l="1"/>
  <c r="H19" i="1"/>
  <c r="H18" i="1"/>
  <c r="H5" i="34"/>
  <c r="D9" i="34"/>
  <c r="D11" i="34"/>
  <c r="L8" i="1"/>
  <c r="I5" i="34" l="1"/>
  <c r="I17" i="34" s="1"/>
  <c r="J5" i="34"/>
  <c r="H17" i="34"/>
  <c r="K14" i="19"/>
  <c r="D17" i="34"/>
  <c r="E7" i="34"/>
  <c r="B8" i="1"/>
  <c r="M5" i="34" l="1"/>
  <c r="L5" i="34"/>
  <c r="J17" i="34"/>
  <c r="H7" i="34"/>
  <c r="I7" i="34" s="1"/>
  <c r="L12" i="1"/>
  <c r="J21" i="34" l="1"/>
  <c r="M17" i="34"/>
  <c r="L17" i="34"/>
  <c r="E11" i="34"/>
  <c r="H11" i="34" s="1"/>
  <c r="I11" i="34" s="1"/>
  <c r="L18" i="1"/>
  <c r="L19" i="1"/>
  <c r="E17" i="34" s="1"/>
  <c r="B12" i="1"/>
  <c r="E9" i="34"/>
  <c r="B10" i="1"/>
  <c r="B18" i="1" l="1"/>
  <c r="B19" i="1"/>
  <c r="H9" i="34"/>
  <c r="I9" i="34" s="1"/>
  <c r="G18" i="34" l="1"/>
  <c r="E18" i="34"/>
  <c r="D18" i="34"/>
  <c r="H21" i="34"/>
  <c r="F18" i="34"/>
</calcChain>
</file>

<file path=xl/comments1.xml><?xml version="1.0" encoding="utf-8"?>
<comments xmlns="http://schemas.openxmlformats.org/spreadsheetml/2006/main">
  <authors>
    <author>Halvor Fahle</author>
  </authors>
  <commentList>
    <comment ref="J10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I henhold til skriv fra Knut Tore Stokke og Terje P Hagen. 612 timer (Halvtårsvirkning i 2013)</t>
        </r>
      </text>
    </comment>
  </commentList>
</comments>
</file>

<file path=xl/comments2.xml><?xml version="1.0" encoding="utf-8"?>
<comments xmlns="http://schemas.openxmlformats.org/spreadsheetml/2006/main">
  <authors>
    <author>runivs</author>
    <author>Halvor Fahle</author>
    <author>halvorfa</author>
    <author>"halvorfa"</author>
  </authors>
  <commentList>
    <comment ref="K9" authorId="0">
      <text>
        <r>
          <rPr>
            <b/>
            <sz val="8"/>
            <color indexed="81"/>
            <rFont val="Tahoma"/>
            <family val="2"/>
          </rPr>
          <t>runivs:</t>
        </r>
        <r>
          <rPr>
            <sz val="8"/>
            <color indexed="81"/>
            <rFont val="Tahoma"/>
            <family val="2"/>
          </rPr>
          <t xml:space="preserve">
Ny bevilgn. Fra 2010. Grunnlag kostn 2008.</t>
        </r>
      </text>
    </comment>
    <comment ref="M9" authorId="1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Studiekonsulenter Ernæring
pluss to konsulenter til 1. og 2. modul</t>
        </r>
      </text>
    </comment>
    <comment ref="N9" authorId="2">
      <text>
        <r>
          <rPr>
            <b/>
            <sz val="9"/>
            <color indexed="81"/>
            <rFont val="Tahoma"/>
            <family val="2"/>
          </rPr>
          <t>halvorfa:</t>
        </r>
        <r>
          <rPr>
            <sz val="9"/>
            <color indexed="81"/>
            <rFont val="Tahoma"/>
            <family val="2"/>
          </rPr>
          <t xml:space="preserve">
400' 50 % lektor, i to år 2013 og 2014. 
Styrkning utdanningsledelse, 1 mill fra 2014.</t>
        </r>
      </text>
    </comment>
    <comment ref="M11" authorId="1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50 % stilling hver til HEM og Avansert geriatrisk sykepleie. 100 % stilling til de andre 6 studieprogrammene.</t>
        </r>
      </text>
    </comment>
    <comment ref="N11" authorId="2">
      <text>
        <r>
          <rPr>
            <b/>
            <sz val="9"/>
            <color indexed="81"/>
            <rFont val="Tahoma"/>
            <family val="2"/>
          </rPr>
          <t>halvorfa:</t>
        </r>
        <r>
          <rPr>
            <sz val="9"/>
            <color indexed="81"/>
            <rFont val="Tahoma"/>
            <family val="2"/>
          </rPr>
          <t xml:space="preserve">
1 mill styrkning utdanningsledelse.</t>
        </r>
      </text>
    </comment>
    <comment ref="O11" authorId="2">
      <text>
        <r>
          <rPr>
            <b/>
            <sz val="9"/>
            <color indexed="81"/>
            <rFont val="Tahoma"/>
            <family val="2"/>
          </rPr>
          <t>halvorfa:</t>
        </r>
        <r>
          <rPr>
            <sz val="9"/>
            <color indexed="81"/>
            <rFont val="Tahoma"/>
            <family val="2"/>
          </rPr>
          <t xml:space="preserve">
880,08 + 118,602 Timebasert underv Geriatri
936,222 KLOK</t>
        </r>
      </text>
    </comment>
    <comment ref="D13" authorId="3">
      <text>
        <r>
          <rPr>
            <b/>
            <sz val="8"/>
            <color indexed="81"/>
            <rFont val="Tahoma"/>
            <family val="2"/>
          </rPr>
          <t>"halvorfa":</t>
        </r>
        <r>
          <rPr>
            <sz val="8"/>
            <color indexed="81"/>
            <rFont val="Tahoma"/>
            <family val="2"/>
          </rPr>
          <t xml:space="preserve">
Beløp oppgitt av Frode Vartdal
</t>
        </r>
      </text>
    </comment>
    <comment ref="G13" authorId="3">
      <text>
        <r>
          <rPr>
            <b/>
            <sz val="8"/>
            <color indexed="81"/>
            <rFont val="Tahoma"/>
            <family val="2"/>
          </rPr>
          <t>"halvorfa":</t>
        </r>
        <r>
          <rPr>
            <sz val="8"/>
            <color indexed="81"/>
            <rFont val="Tahoma"/>
            <family val="2"/>
          </rPr>
          <t xml:space="preserve">
1509 Ferdighetssenter
451 OSCE
</t>
        </r>
      </text>
    </comment>
    <comment ref="M13" authorId="1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Studiekonsulent 1. modul, overført til IMB</t>
        </r>
      </text>
    </comment>
    <comment ref="N13" authorId="2">
      <text>
        <r>
          <rPr>
            <b/>
            <sz val="9"/>
            <color indexed="81"/>
            <rFont val="Tahoma"/>
            <family val="2"/>
          </rPr>
          <t>halvorfa:</t>
        </r>
        <r>
          <rPr>
            <sz val="9"/>
            <color indexed="81"/>
            <rFont val="Tahoma"/>
            <family val="2"/>
          </rPr>
          <t xml:space="preserve">
1 mill styrkning utdanningsledelse.
+ lektor journalskrivning akuttmottak</t>
        </r>
      </text>
    </comment>
  </commentList>
</comments>
</file>

<file path=xl/comments3.xml><?xml version="1.0" encoding="utf-8"?>
<comments xmlns="http://schemas.openxmlformats.org/spreadsheetml/2006/main">
  <authors>
    <author>Halvor Fahle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Gjelder årene 2016 - 2018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Midlertidige stillinger 2015 - 2017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Midlertidige stillinger 2015 - 2017</t>
        </r>
      </text>
    </comment>
  </commentList>
</comments>
</file>

<file path=xl/comments4.xml><?xml version="1.0" encoding="utf-8"?>
<comments xmlns="http://schemas.openxmlformats.org/spreadsheetml/2006/main">
  <authors>
    <author>Halvor Fahle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Miljøstyrte PhD kurs 1000'
Skrivekurs 300'
Endret i møte 24.09.12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Phd koord 924'
</t>
        </r>
      </text>
    </comment>
    <comment ref="B12" authorId="0">
      <text>
        <r>
          <rPr>
            <b/>
            <sz val="9"/>
            <color indexed="81"/>
            <rFont val="Tahoma"/>
            <family val="2"/>
          </rPr>
          <t>Halvor Fahle
PHD koordinator 924'</t>
        </r>
      </text>
    </comment>
    <comment ref="B14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PHD koordinator: 924'</t>
        </r>
      </text>
    </comment>
  </commentList>
</comments>
</file>

<file path=xl/comments5.xml><?xml version="1.0" encoding="utf-8"?>
<comments xmlns="http://schemas.openxmlformats.org/spreadsheetml/2006/main">
  <authors>
    <author>Halvor Fahle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Halvor Fahle:
Disputaser fra Biotek/NCMM</t>
        </r>
        <r>
          <rPr>
            <sz val="9"/>
            <color indexed="81"/>
            <rFont val="Tahoma"/>
            <family val="2"/>
          </rPr>
          <t xml:space="preserve">
Hanne Kim Skjeldam (Klinmed)
Karen Henjum (Klinmed)
Maria Elisabeth Kalland (Klinmed)
Kristoffer Watten Brudvik (Klinmed)</t>
        </r>
      </text>
    </comment>
    <comment ref="B51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3470, 3471, 3472, 3473, 3474, 3479.</t>
        </r>
      </text>
    </comment>
    <comment ref="C51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3470, 3471, 3472, 3473, 3474, 3479.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3400, 3403, 3404, 3406, 3407</t>
        </r>
      </text>
    </comment>
    <comment ref="E51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3400, 3403, 3404, 3406, 3407</t>
        </r>
      </text>
    </comment>
    <comment ref="B69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 3401 og 3402</t>
        </r>
      </text>
    </comment>
    <comment ref="C69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 3401 og 3402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Art: 3420, 3421, 3422, 3423, 3426</t>
        </r>
      </text>
    </comment>
  </commentList>
</comments>
</file>

<file path=xl/comments6.xml><?xml version="1.0" encoding="utf-8"?>
<comments xmlns="http://schemas.openxmlformats.org/spreadsheetml/2006/main">
  <authors>
    <author>Halvor Fahle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Halvor Fahle:</t>
        </r>
        <r>
          <rPr>
            <sz val="8"/>
            <color indexed="81"/>
            <rFont val="Tahoma"/>
            <family val="2"/>
          </rPr>
          <t xml:space="preserve">
Beløp korrigert etter oppsett gitt av Jan Bjaalie 3. desember 2010.
Økt med lønns og prisstigning
</t>
        </r>
      </text>
    </comment>
  </commentList>
</comments>
</file>

<file path=xl/comments7.xml><?xml version="1.0" encoding="utf-8"?>
<comments xmlns="http://schemas.openxmlformats.org/spreadsheetml/2006/main">
  <authors>
    <author>Halvor Fahle</author>
    <author>trudeab</author>
    <author>halvorfa</author>
    <author>"halvorfa"</author>
  </authors>
  <commentList>
    <comment ref="O6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800' skal dekkes av regnskapsoverskudd 2012</t>
        </r>
      </text>
    </comment>
    <comment ref="E8" authorId="1">
      <text>
        <r>
          <rPr>
            <b/>
            <sz val="8"/>
            <color indexed="81"/>
            <rFont val="Tahoma"/>
            <family val="2"/>
          </rPr>
          <t>trudeab:</t>
        </r>
        <r>
          <rPr>
            <sz val="8"/>
            <color indexed="81"/>
            <rFont val="Tahoma"/>
            <family val="2"/>
          </rPr>
          <t xml:space="preserve">
SFF:
2 mill CMBM - Ottersen/Tønjum
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1 mill innfasing av CMBN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 xml:space="preserve">Halvor Fahle
</t>
        </r>
        <r>
          <rPr>
            <sz val="9"/>
            <color indexed="81"/>
            <rFont val="Tahoma"/>
            <family val="2"/>
          </rPr>
          <t>Fellesløftet II, egenandel, 2014 - 2016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Stip/postdoc for Hilde Nebb. 2011 - 2014</t>
        </r>
      </text>
    </comment>
    <comment ref="N8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Ny leder IMB. 1200 fast
300' til drift i 2015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Redusert tildeling i 2015 pga sen oppstart. Full tildeling i 2016.</t>
        </r>
      </text>
    </comment>
    <comment ref="I10" authorId="2">
      <text>
        <r>
          <rPr>
            <b/>
            <sz val="9"/>
            <color indexed="81"/>
            <rFont val="Tahoma"/>
            <family val="2"/>
          </rPr>
          <t>halvorfa:</t>
        </r>
        <r>
          <rPr>
            <sz val="9"/>
            <color indexed="81"/>
            <rFont val="Tahoma"/>
            <family val="2"/>
          </rPr>
          <t xml:space="preserve">
Etter vedtak i styremøte mars 2013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Fellesløftet II, egenandel, 2014 - 2016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Stip/postdoc for Kristin Heggen. 2011 - 2014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Økt til 220 i 2013 etter brev fra Knut Tore Stokke.</t>
        </r>
      </text>
    </comment>
    <comment ref="C12" authorId="3">
      <text>
        <r>
          <rPr>
            <b/>
            <sz val="8"/>
            <color indexed="81"/>
            <rFont val="Tahoma"/>
            <family val="2"/>
          </rPr>
          <t>"halvorfa":</t>
        </r>
        <r>
          <rPr>
            <sz val="8"/>
            <color indexed="81"/>
            <rFont val="Tahoma"/>
            <family val="2"/>
          </rPr>
          <t xml:space="preserve">
ERC - Sollid og Stenmark</t>
        </r>
      </text>
    </comment>
    <comment ref="E12" authorId="3">
      <text>
        <r>
          <rPr>
            <b/>
            <sz val="8"/>
            <color indexed="81"/>
            <rFont val="Tahoma"/>
            <family val="2"/>
          </rPr>
          <t>"halvorfa":</t>
        </r>
        <r>
          <rPr>
            <sz val="8"/>
            <color indexed="81"/>
            <rFont val="Tahoma"/>
            <family val="2"/>
          </rPr>
          <t xml:space="preserve">
SFF:
Centre for immune regulation - L. Sollid - 2 mill
Centre for Cancer Biomedicine - H.Stenmark - 2 mill
Centre for Mental Disorders Research - Ole A. Andreassen - 2 mill
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Innfasing av SFF'er som ikke er avsluttet før i 2018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250 'Andreassen 2013 - 2015
3 Jebsensentre for årene 2013 - 2016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Stip/postdoc for Frode Vartdal, Ingrid Os 2011 - 2014</t>
        </r>
      </text>
    </comment>
  </commentList>
</comments>
</file>

<file path=xl/comments8.xml><?xml version="1.0" encoding="utf-8"?>
<comments xmlns="http://schemas.openxmlformats.org/spreadsheetml/2006/main">
  <authors>
    <author>Halvor Fahle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Sogn Arena: 6.169
Søsterhjemmet: 910
Nydalen Allé: 1.526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Halvor Fahle:</t>
        </r>
        <r>
          <rPr>
            <sz val="9"/>
            <color indexed="81"/>
            <rFont val="Tahoma"/>
            <family val="2"/>
          </rPr>
          <t xml:space="preserve">
Økt med 300 ifm forpliktelser fra studiedekanmøte</t>
        </r>
      </text>
    </comment>
  </commentList>
</comments>
</file>

<file path=xl/sharedStrings.xml><?xml version="1.0" encoding="utf-8"?>
<sst xmlns="http://schemas.openxmlformats.org/spreadsheetml/2006/main" count="465" uniqueCount="271">
  <si>
    <t>(beløp i 1000 kroner)</t>
  </si>
  <si>
    <t>Sum</t>
  </si>
  <si>
    <t>Grunnenhetene</t>
  </si>
  <si>
    <t>Institutt for medisinske basalfag</t>
  </si>
  <si>
    <t>Sum grunnenhetene</t>
  </si>
  <si>
    <t>Fakultetet felles</t>
  </si>
  <si>
    <t>Forskningsbasert utdanning</t>
  </si>
  <si>
    <t>Basis</t>
  </si>
  <si>
    <t>Resultat</t>
  </si>
  <si>
    <t>Særskilte kostnader</t>
  </si>
  <si>
    <t>Midlertidige satsninger</t>
  </si>
  <si>
    <t>Forskning og forskerutdanning</t>
  </si>
  <si>
    <t>Særskilte oppgaver/Samfunnsoppdrag</t>
  </si>
  <si>
    <t>Infrastruktur</t>
  </si>
  <si>
    <t>Sum det medisinske fakultet</t>
  </si>
  <si>
    <t>Total sum</t>
  </si>
  <si>
    <t>Årsverk basert på pålagte undervisningsoppgaver</t>
  </si>
  <si>
    <t>Disseksjon</t>
  </si>
  <si>
    <t>Ferdighetssenter</t>
  </si>
  <si>
    <t>Lab.kurs</t>
  </si>
  <si>
    <t>PC-stuer</t>
  </si>
  <si>
    <t>Utplassering av studenter</t>
  </si>
  <si>
    <t>Teknisk assistanse/drift (I form av påslag på årsverk)</t>
  </si>
  <si>
    <t>Rekrutteringsstillinger</t>
  </si>
  <si>
    <t>Vitenskapelig utstyr</t>
  </si>
  <si>
    <t>Forskerlinjen</t>
  </si>
  <si>
    <t>Forskerutdanning</t>
  </si>
  <si>
    <t>Doktorgrader</t>
  </si>
  <si>
    <t>Vitenskapelig publisering</t>
  </si>
  <si>
    <t>Eksterne midler (NFR, EU)</t>
  </si>
  <si>
    <t>Dyrestall</t>
  </si>
  <si>
    <t>Verksteder</t>
  </si>
  <si>
    <t>Tematiske områder</t>
  </si>
  <si>
    <t>SFF</t>
  </si>
  <si>
    <t>Småforsk</t>
  </si>
  <si>
    <t>Startpakker</t>
  </si>
  <si>
    <t>Regionaletiske komiteer</t>
  </si>
  <si>
    <t>Rettsmedisinsk institutt</t>
  </si>
  <si>
    <t>Utenlandsmedisinerene</t>
  </si>
  <si>
    <t>Russlandssenteret</t>
  </si>
  <si>
    <t>Internhusleie</t>
  </si>
  <si>
    <t>Felles administrasjon (inkl. all studieadministrasjon</t>
  </si>
  <si>
    <t>Lokal administrasjon</t>
  </si>
  <si>
    <t>Innføring av nye administrative system</t>
  </si>
  <si>
    <t>Forskningskomponenten</t>
  </si>
  <si>
    <t>Resultatbasert omfordeling - doktorgrader</t>
  </si>
  <si>
    <t>Fakultetene</t>
  </si>
  <si>
    <t>Tildeling</t>
  </si>
  <si>
    <t>Resultatbasert omfordeling - publikasjoner</t>
  </si>
  <si>
    <t>Gjennomsnitt</t>
  </si>
  <si>
    <t>1.stillinger</t>
  </si>
  <si>
    <t>professor II</t>
  </si>
  <si>
    <t>Fordeling</t>
  </si>
  <si>
    <t>Priser i 1000-kr</t>
  </si>
  <si>
    <t>1. stillinger</t>
  </si>
  <si>
    <t>prof II</t>
  </si>
  <si>
    <t xml:space="preserve">                  Rekrutteringsstillinger        </t>
  </si>
  <si>
    <t>Stipendiater</t>
  </si>
  <si>
    <t>Forskn.komponenten</t>
  </si>
  <si>
    <t>Forsker-</t>
  </si>
  <si>
    <t>Antall timer undervisning</t>
  </si>
  <si>
    <t>Behov for antall årsverk</t>
  </si>
  <si>
    <t>Undervisning pr årsverk</t>
  </si>
  <si>
    <t>Faktor - trekk for eksterne årsverk</t>
  </si>
  <si>
    <t>Pris per årsverk</t>
  </si>
  <si>
    <t>Hovedark</t>
  </si>
  <si>
    <t>Laboratoriekurs</t>
  </si>
  <si>
    <t>Driftsutgifter</t>
  </si>
  <si>
    <t>PC stuer</t>
  </si>
  <si>
    <t>Utplasseringsordninger</t>
  </si>
  <si>
    <t>Klinisk ernæringsfysiologi</t>
  </si>
  <si>
    <t>Påslag for stillinger laboratoriefag</t>
  </si>
  <si>
    <t>Påslag for stillinger ikke laboratoriefag</t>
  </si>
  <si>
    <t>Fakultetet Felles</t>
  </si>
  <si>
    <t>Hovedside</t>
  </si>
  <si>
    <t>TOTALT</t>
  </si>
  <si>
    <t>Honorar til studentene</t>
  </si>
  <si>
    <t>Honorar til eksterne styremedlemmer</t>
  </si>
  <si>
    <t>Undervisning</t>
  </si>
  <si>
    <t>Veiledning</t>
  </si>
  <si>
    <t>Forelesning</t>
  </si>
  <si>
    <t>Kurs</t>
  </si>
  <si>
    <t>Seminar</t>
  </si>
  <si>
    <t>Gruppearbeid</t>
  </si>
  <si>
    <t>Klinikk</t>
  </si>
  <si>
    <t>Til stede for studentene</t>
  </si>
  <si>
    <t>Masteroppgave 30 stp</t>
  </si>
  <si>
    <t>Masteroppgave 60 stp</t>
  </si>
  <si>
    <t>Masteroppgave 60 stp, lab-basert</t>
  </si>
  <si>
    <t>Prosjektoppgave, medisinstudiet</t>
  </si>
  <si>
    <t>Semesteroppgave, øvningsoppgave, mappeoppgave</t>
  </si>
  <si>
    <t>Eksamen / Sensur</t>
  </si>
  <si>
    <t>Medisinstudiet</t>
  </si>
  <si>
    <t>Leder av eksamenskommisjon</t>
  </si>
  <si>
    <t>Meldem av eksamenskommisjon</t>
  </si>
  <si>
    <t>Muntlig eksamen</t>
  </si>
  <si>
    <t>Klinisk eksamen</t>
  </si>
  <si>
    <t>Bachelor / Master</t>
  </si>
  <si>
    <t>Utarbeidelse av skriftlig oppgavesett</t>
  </si>
  <si>
    <t>Sensur av skriftlig oppgavesett</t>
  </si>
  <si>
    <t>Sensur av hjemmeeksamen</t>
  </si>
  <si>
    <t>Vurdering/tilbakemelding mappeoppgave</t>
  </si>
  <si>
    <t>Sluttvurdering av mappe</t>
  </si>
  <si>
    <t>Sensur masteroppgave inkl muntlig eks</t>
  </si>
  <si>
    <t>Sensur  maseroppgave uten muntlig eks</t>
  </si>
  <si>
    <t>Sensur muntlig fremlegg</t>
  </si>
  <si>
    <t>U-regnskap</t>
  </si>
  <si>
    <t>Lab</t>
  </si>
  <si>
    <t>Ikke lab</t>
  </si>
  <si>
    <t>Timer</t>
  </si>
  <si>
    <t>%</t>
  </si>
  <si>
    <t>Pris pr doktorgrad:</t>
  </si>
  <si>
    <t>Pris NFR</t>
  </si>
  <si>
    <t>Pris EU</t>
  </si>
  <si>
    <t>8. semester</t>
  </si>
  <si>
    <t>Forskning og Forskerutdanning</t>
  </si>
  <si>
    <t>Samfunnsoppdrag</t>
  </si>
  <si>
    <t>Farmakoterapi</t>
  </si>
  <si>
    <t>Studiekonsulenter</t>
  </si>
  <si>
    <t>Total tildelingssum for publikasjoner</t>
  </si>
  <si>
    <t>Total tildelingssum for eksterne tildelinger</t>
  </si>
  <si>
    <t>Total tildeling for doktorgrader</t>
  </si>
  <si>
    <t>Antall eksterne årsverk 1)</t>
  </si>
  <si>
    <t>Netto behov årsverk 2)</t>
  </si>
  <si>
    <t>2) Netto behov årsverk er "Behov for antall årsverk" fratrukket halvparten av de eksterne årsverk.</t>
  </si>
  <si>
    <t>2) Netto behov årsverk er "Behov for antall årsverk" fratrukket alle eksterne årsverk.</t>
  </si>
  <si>
    <t>Tekn ass/drift Lab 3)</t>
  </si>
  <si>
    <t>Tekn ass/drift ikke Lab 3)</t>
  </si>
  <si>
    <t>3) Formel: Andel undervisning x Netto behov årsverk x Pris pr årsverk x Påslag</t>
  </si>
  <si>
    <t>Særskilte 
oppgaver/
Samfunns
oppdrag</t>
  </si>
  <si>
    <t>Variabler forskning</t>
  </si>
  <si>
    <t>Institutt for helse og samfunn</t>
  </si>
  <si>
    <t>Faktor</t>
  </si>
  <si>
    <t>Satser / Tildeling</t>
  </si>
  <si>
    <t>Modell</t>
  </si>
  <si>
    <t>Uio</t>
  </si>
  <si>
    <t>Pris pr poeng</t>
  </si>
  <si>
    <t>Pris</t>
  </si>
  <si>
    <t>Dyrestall /verksted</t>
  </si>
  <si>
    <t>Tekniker-støtte 2)</t>
  </si>
  <si>
    <t>1., 2. og 10. semester</t>
  </si>
  <si>
    <t>Samfunnsoppdrag og særskilte oppgaver</t>
  </si>
  <si>
    <t>Teknisk assistanse</t>
  </si>
  <si>
    <t xml:space="preserve">    Dette gir en kostnad på kr 450 000 pr år inklusive alle sosiale kostnader.</t>
  </si>
  <si>
    <t>Institutt for medisinske basafag</t>
  </si>
  <si>
    <t>Institutt for klinisk medisin</t>
  </si>
  <si>
    <t>Fakultete felles</t>
  </si>
  <si>
    <t>Særskilte kostnader.</t>
  </si>
  <si>
    <t>Sykehustilskudd</t>
  </si>
  <si>
    <t>Sum Tekn ass / drift</t>
  </si>
  <si>
    <t>Måltall</t>
  </si>
  <si>
    <t>Postdoc</t>
  </si>
  <si>
    <t>Impact Rekruteringsstillinger</t>
  </si>
  <si>
    <t>Felles Phd-emner 2011</t>
  </si>
  <si>
    <t>MF 9010</t>
  </si>
  <si>
    <t>MF 9210</t>
  </si>
  <si>
    <t>MF 9230</t>
  </si>
  <si>
    <t>MF 9130</t>
  </si>
  <si>
    <t>Forskningsbasert utdanning. Særskilte kostnader</t>
  </si>
  <si>
    <t>Undervisningstimer</t>
  </si>
  <si>
    <t>Generell reserve</t>
  </si>
  <si>
    <t>Ferdighetssenteret + OSCE</t>
  </si>
  <si>
    <t>utdanningen</t>
  </si>
  <si>
    <t>Faktor IMB</t>
  </si>
  <si>
    <t>Faktor Klinmed</t>
  </si>
  <si>
    <t>Faktor Helsam</t>
  </si>
  <si>
    <t>NCOE</t>
  </si>
  <si>
    <t>Insitutt for helse og samfunn</t>
  </si>
  <si>
    <t>Stip</t>
  </si>
  <si>
    <t>P.doc</t>
  </si>
  <si>
    <t>Stipendiat</t>
  </si>
  <si>
    <t>Studieseksjonen 500102</t>
  </si>
  <si>
    <t>Med Informatikk 500110</t>
  </si>
  <si>
    <t>Dyre-Pet</t>
  </si>
  <si>
    <t>Økt opptak ernæring</t>
  </si>
  <si>
    <t>Omlegging fellessemestre OD/Ern</t>
  </si>
  <si>
    <t>Nytt masterstudium - Geriatri</t>
  </si>
  <si>
    <t>Stipendiat/Postdoc til Dekanatet</t>
  </si>
  <si>
    <t>Post 50</t>
  </si>
  <si>
    <t>Vitenskapelig utstyr klasse II og III</t>
  </si>
  <si>
    <t>Annen strategi</t>
  </si>
  <si>
    <t>Timebasert undervisning Geriatri-master + KLOK</t>
  </si>
  <si>
    <t>Professorat i likestilling</t>
  </si>
  <si>
    <t>Likestilling</t>
  </si>
  <si>
    <t>Studiekvalitet</t>
  </si>
  <si>
    <t>E-Læring</t>
  </si>
  <si>
    <t>Utvikling IKT</t>
  </si>
  <si>
    <t>Kinasamarbeid</t>
  </si>
  <si>
    <t>USA samarbeid</t>
  </si>
  <si>
    <t>NordSør - samarbeid</t>
  </si>
  <si>
    <t>Leder MEDDOCS</t>
  </si>
  <si>
    <t>Faglige/strategiske satsinger</t>
  </si>
  <si>
    <t>Totalt avsatte midler faglige/strategiske satsinger</t>
  </si>
  <si>
    <t>Felleskostnader</t>
  </si>
  <si>
    <t>Generell drift fakultetet</t>
  </si>
  <si>
    <t>Drift IKT</t>
  </si>
  <si>
    <t>Drift fakultetsadministrasjonen</t>
  </si>
  <si>
    <t>Ekstern husleie</t>
  </si>
  <si>
    <t>TA strøm, renhold, telefon og post</t>
  </si>
  <si>
    <t>Tillsynssensor masterprogrammene</t>
  </si>
  <si>
    <t>Sum felleskostnader</t>
  </si>
  <si>
    <t>Lønnskostnader fakultetet felles</t>
  </si>
  <si>
    <t>Sum lønnskostnader fakultetet felles</t>
  </si>
  <si>
    <t>Jebsen</t>
  </si>
  <si>
    <t>Rektrutteringsstillinger</t>
  </si>
  <si>
    <t>Studieadministrasjon 1)</t>
  </si>
  <si>
    <t>Klasse II til fordeling</t>
  </si>
  <si>
    <t>Kilde: DBH, avlagte doktorgrader</t>
  </si>
  <si>
    <t>Bio-statistikk</t>
  </si>
  <si>
    <t>Regnskapstall er hentet fra Kuben. Prognosetall fra instituttenes innspill.</t>
  </si>
  <si>
    <t>Eksamen profesjonsutdanning</t>
  </si>
  <si>
    <t>Sensor profesjonsutdanning</t>
  </si>
  <si>
    <t>Andre driftskostnader studiene</t>
  </si>
  <si>
    <t>SFF og nesten-SFF</t>
  </si>
  <si>
    <t>Startpakker - ny ordning</t>
  </si>
  <si>
    <t>Drift MED informatikk</t>
  </si>
  <si>
    <t>ERC</t>
  </si>
  <si>
    <t>SFF-innfasing</t>
  </si>
  <si>
    <t>Fakultetets interne stimuleringsmidler.</t>
  </si>
  <si>
    <t>Fellesgrad helseøkonomi (HEM)</t>
  </si>
  <si>
    <t>Fakultetet felles / Biotek /NCMM</t>
  </si>
  <si>
    <t xml:space="preserve">1) Vi har anslått teknikere i laboratoriekurs til gjennomsnittlig lønntrinn 44. </t>
  </si>
  <si>
    <t>Resultatbasert omfordeling -  NFR</t>
  </si>
  <si>
    <t>Resultatbasert omfordeling - EU</t>
  </si>
  <si>
    <t xml:space="preserve">Gjennomsnitt </t>
  </si>
  <si>
    <t>Resultatbasert omfordeling</t>
  </si>
  <si>
    <t>Helsam-midler</t>
  </si>
  <si>
    <t>Studentutveksling / lærerutveksling</t>
  </si>
  <si>
    <t>Global Helse</t>
  </si>
  <si>
    <t>1) Kilde for antall eksterne årsverk er DBH 2013. Universitetslektor, førsteamanuensis, professor og professor II</t>
  </si>
  <si>
    <t>to nye stillinger IMB - full uttelling</t>
  </si>
  <si>
    <t>to nye stillinger Klinmed - full uttelling</t>
  </si>
  <si>
    <t>Administrative fellestjenester 500101</t>
  </si>
  <si>
    <t>Seksjon for forskningsadministrasjon 500103</t>
  </si>
  <si>
    <t>Fakultetsdirektøren 500100</t>
  </si>
  <si>
    <t>Utdanningsledelse + annet</t>
  </si>
  <si>
    <t>Omstillingspott Oslo 2014. For årene 2015 - 2017</t>
  </si>
  <si>
    <t>Administrative stillinger</t>
  </si>
  <si>
    <t>Omorganisering IMB</t>
  </si>
  <si>
    <t>Ny utplassering i sykehjemspraksis Oslo 2014</t>
  </si>
  <si>
    <t>Årlig prisjustering</t>
  </si>
  <si>
    <t>Antall år</t>
  </si>
  <si>
    <t>1) Kilde for antall eksterne årsverk er DBH 2014. Universitetslektor, førsteamanuensis, professor og professor II</t>
  </si>
  <si>
    <t>Ny seksjonsleder økonomi</t>
  </si>
  <si>
    <t>Økning Kinasamarbeid</t>
  </si>
  <si>
    <t>Grunnlag 2014-tall, DBH, Eget grunnbudsjett. 1. stillinger er årsverk Førsteamanuensis og professor. Professor II er antall personer</t>
  </si>
  <si>
    <t>Tildeling 2016 til vit.utstyr klasse III fra UiO sentralt 7,884 mill. kr.</t>
  </si>
  <si>
    <t>Nye Jebsen</t>
  </si>
  <si>
    <t>Fellesløftet II</t>
  </si>
  <si>
    <t>Driftmidler fast vit ansatte</t>
  </si>
  <si>
    <t>Studiekvalitet HUS</t>
  </si>
  <si>
    <t>Helsevitenskapelig utdanningssenter 500114</t>
  </si>
  <si>
    <t>Ny stilling studieadministrasjon</t>
  </si>
  <si>
    <t>Økning kursportefølje PHD</t>
  </si>
  <si>
    <t>Bioteknologisenteret</t>
  </si>
  <si>
    <t>Norsk Senter for Molekylærmedisin</t>
  </si>
  <si>
    <t>NCMM</t>
  </si>
  <si>
    <t>Varig øremerking</t>
  </si>
  <si>
    <t>SUM</t>
  </si>
  <si>
    <t>Institutt for klinisk medisin, kommunikasjon og innkjøp</t>
  </si>
  <si>
    <t>Fakultetet felles - 50 %</t>
  </si>
  <si>
    <t>Tildeling fra UiO Sentralt</t>
  </si>
  <si>
    <t>For mye fordelt</t>
  </si>
  <si>
    <t>Tildeling undervisning</t>
  </si>
  <si>
    <t>Tildeling rekrutteringsstillinger</t>
  </si>
  <si>
    <t>IMB</t>
  </si>
  <si>
    <t>Klinmed</t>
  </si>
  <si>
    <t>Helsam</t>
  </si>
  <si>
    <t>Hovedfordeling 2015</t>
  </si>
  <si>
    <t>Hovedfordeling 2016</t>
  </si>
  <si>
    <t>Avbyråkratiserings-kutt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</si>
</sst>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0.000"/>
    <numFmt numFmtId="166" formatCode="#,##0.0"/>
    <numFmt numFmtId="167" formatCode="_ * #,##0_ ;_ * \-#,##0_ ;_ * &quot;-&quot;??_ ;_ @_ "/>
  </numFmts>
  <fonts count="21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9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43" fontId="20" fillId="0" borderId="0" applyFont="0" applyFill="0" applyBorder="0" applyAlignment="0" applyProtection="0"/>
  </cellStyleXfs>
  <cellXfs count="330">
    <xf numFmtId="0" fontId="0" fillId="0" borderId="0" xfId="0"/>
    <xf numFmtId="3" fontId="2" fillId="0" borderId="0" xfId="0" applyNumberFormat="1" applyFont="1"/>
    <xf numFmtId="3" fontId="3" fillId="2" borderId="1" xfId="0" applyNumberFormat="1" applyFont="1" applyFill="1" applyBorder="1" applyAlignment="1">
      <alignment horizontal="center"/>
    </xf>
    <xf numFmtId="3" fontId="3" fillId="0" borderId="0" xfId="0" applyNumberFormat="1" applyFont="1"/>
    <xf numFmtId="3" fontId="3" fillId="2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right" wrapText="1"/>
    </xf>
    <xf numFmtId="3" fontId="3" fillId="0" borderId="5" xfId="0" applyNumberFormat="1" applyFont="1" applyBorder="1"/>
    <xf numFmtId="3" fontId="3" fillId="0" borderId="6" xfId="0" applyNumberFormat="1" applyFont="1" applyBorder="1" applyAlignment="1">
      <alignment horizontal="left"/>
    </xf>
    <xf numFmtId="3" fontId="3" fillId="0" borderId="5" xfId="0" applyNumberFormat="1" applyFont="1" applyFill="1" applyBorder="1"/>
    <xf numFmtId="3" fontId="3" fillId="0" borderId="7" xfId="0" applyNumberFormat="1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left"/>
    </xf>
    <xf numFmtId="3" fontId="4" fillId="2" borderId="5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 applyAlignment="1" applyProtection="1"/>
    <xf numFmtId="3" fontId="4" fillId="0" borderId="5" xfId="0" applyNumberFormat="1" applyFont="1" applyFill="1" applyBorder="1" applyAlignment="1" applyProtection="1"/>
    <xf numFmtId="0" fontId="6" fillId="0" borderId="0" xfId="0" applyFont="1"/>
    <xf numFmtId="0" fontId="4" fillId="0" borderId="7" xfId="0" applyFont="1" applyBorder="1"/>
    <xf numFmtId="49" fontId="4" fillId="0" borderId="8" xfId="0" applyNumberFormat="1" applyFont="1" applyBorder="1" applyAlignment="1">
      <alignment horizontal="center"/>
    </xf>
    <xf numFmtId="3" fontId="4" fillId="2" borderId="7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 applyProtection="1"/>
    <xf numFmtId="3" fontId="4" fillId="0" borderId="0" xfId="0" applyNumberFormat="1" applyFont="1" applyFill="1" applyBorder="1" applyAlignment="1">
      <alignment horizontal="left"/>
    </xf>
    <xf numFmtId="3" fontId="3" fillId="0" borderId="5" xfId="0" applyNumberFormat="1" applyFont="1" applyBorder="1" applyAlignment="1">
      <alignment horizontal="left"/>
    </xf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3" fillId="2" borderId="5" xfId="0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 applyProtection="1"/>
    <xf numFmtId="0" fontId="3" fillId="2" borderId="5" xfId="0" applyFont="1" applyFill="1" applyBorder="1" applyAlignment="1">
      <alignment horizontal="center"/>
    </xf>
    <xf numFmtId="164" fontId="3" fillId="0" borderId="5" xfId="0" applyNumberFormat="1" applyFont="1" applyBorder="1"/>
    <xf numFmtId="0" fontId="3" fillId="0" borderId="5" xfId="0" applyFont="1" applyBorder="1"/>
    <xf numFmtId="0" fontId="3" fillId="2" borderId="5" xfId="0" applyFont="1" applyFill="1" applyBorder="1"/>
    <xf numFmtId="3" fontId="3" fillId="2" borderId="5" xfId="0" applyNumberFormat="1" applyFont="1" applyFill="1" applyBorder="1"/>
    <xf numFmtId="0" fontId="3" fillId="0" borderId="0" xfId="0" applyFont="1"/>
    <xf numFmtId="3" fontId="3" fillId="0" borderId="0" xfId="0" applyNumberFormat="1" applyFont="1" applyFill="1" applyBorder="1" applyAlignment="1" applyProtection="1">
      <alignment horizontal="left"/>
    </xf>
    <xf numFmtId="0" fontId="2" fillId="0" borderId="0" xfId="0" applyFont="1"/>
    <xf numFmtId="3" fontId="9" fillId="0" borderId="0" xfId="0" applyNumberFormat="1" applyFont="1"/>
    <xf numFmtId="0" fontId="10" fillId="0" borderId="0" xfId="0" applyFont="1" applyBorder="1" applyAlignment="1">
      <alignment horizontal="center"/>
    </xf>
    <xf numFmtId="3" fontId="9" fillId="0" borderId="0" xfId="0" applyNumberFormat="1" applyFont="1" applyBorder="1"/>
    <xf numFmtId="0" fontId="3" fillId="0" borderId="0" xfId="0" applyFont="1" applyBorder="1"/>
    <xf numFmtId="49" fontId="3" fillId="0" borderId="8" xfId="0" applyNumberFormat="1" applyFont="1" applyBorder="1"/>
    <xf numFmtId="4" fontId="3" fillId="0" borderId="0" xfId="0" applyNumberFormat="1" applyFont="1" applyBorder="1"/>
    <xf numFmtId="0" fontId="3" fillId="2" borderId="3" xfId="0" applyFont="1" applyFill="1" applyBorder="1" applyAlignment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3" fontId="4" fillId="2" borderId="6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 applyProtection="1"/>
    <xf numFmtId="3" fontId="3" fillId="0" borderId="0" xfId="0" applyNumberFormat="1" applyFont="1" applyFill="1" applyBorder="1" applyAlignment="1">
      <alignment horizontal="left"/>
    </xf>
    <xf numFmtId="3" fontId="3" fillId="0" borderId="6" xfId="0" applyNumberFormat="1" applyFont="1" applyFill="1" applyBorder="1" applyAlignment="1" applyProtection="1"/>
    <xf numFmtId="164" fontId="3" fillId="2" borderId="5" xfId="0" applyNumberFormat="1" applyFont="1" applyFill="1" applyBorder="1"/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9" fontId="3" fillId="0" borderId="5" xfId="2" applyFont="1" applyBorder="1"/>
    <xf numFmtId="9" fontId="3" fillId="2" borderId="5" xfId="2" applyFont="1" applyFill="1" applyBorder="1"/>
    <xf numFmtId="3" fontId="4" fillId="0" borderId="5" xfId="0" applyNumberFormat="1" applyFont="1" applyBorder="1"/>
    <xf numFmtId="3" fontId="4" fillId="0" borderId="24" xfId="0" applyNumberFormat="1" applyFont="1" applyBorder="1"/>
    <xf numFmtId="3" fontId="4" fillId="4" borderId="5" xfId="0" applyNumberFormat="1" applyFont="1" applyFill="1" applyBorder="1" applyAlignment="1">
      <alignment horizontal="left"/>
    </xf>
    <xf numFmtId="0" fontId="3" fillId="4" borderId="5" xfId="0" applyNumberFormat="1" applyFont="1" applyFill="1" applyBorder="1" applyAlignment="1" applyProtection="1"/>
    <xf numFmtId="3" fontId="4" fillId="4" borderId="5" xfId="0" applyNumberFormat="1" applyFont="1" applyFill="1" applyBorder="1" applyAlignment="1" applyProtection="1">
      <alignment horizontal="left"/>
    </xf>
    <xf numFmtId="0" fontId="4" fillId="4" borderId="5" xfId="0" applyNumberFormat="1" applyFont="1" applyFill="1" applyBorder="1" applyAlignment="1" applyProtection="1"/>
    <xf numFmtId="165" fontId="4" fillId="4" borderId="5" xfId="0" applyNumberFormat="1" applyFont="1" applyFill="1" applyBorder="1" applyAlignment="1" applyProtection="1"/>
    <xf numFmtId="3" fontId="3" fillId="0" borderId="23" xfId="0" applyNumberFormat="1" applyFont="1" applyBorder="1"/>
    <xf numFmtId="3" fontId="3" fillId="2" borderId="10" xfId="0" applyNumberFormat="1" applyFont="1" applyFill="1" applyBorder="1"/>
    <xf numFmtId="3" fontId="3" fillId="2" borderId="28" xfId="0" applyNumberFormat="1" applyFont="1" applyFill="1" applyBorder="1"/>
    <xf numFmtId="3" fontId="3" fillId="2" borderId="5" xfId="0" applyNumberFormat="1" applyFont="1" applyFill="1" applyBorder="1" applyAlignment="1"/>
    <xf numFmtId="3" fontId="3" fillId="2" borderId="5" xfId="0" applyNumberFormat="1" applyFont="1" applyFill="1" applyBorder="1" applyAlignment="1">
      <alignment wrapText="1"/>
    </xf>
    <xf numFmtId="3" fontId="3" fillId="2" borderId="17" xfId="0" applyNumberFormat="1" applyFont="1" applyFill="1" applyBorder="1" applyAlignment="1">
      <alignment wrapText="1"/>
    </xf>
    <xf numFmtId="3" fontId="3" fillId="2" borderId="4" xfId="0" applyNumberFormat="1" applyFont="1" applyFill="1" applyBorder="1" applyAlignment="1">
      <alignment wrapText="1"/>
    </xf>
    <xf numFmtId="3" fontId="3" fillId="0" borderId="20" xfId="0" applyNumberFormat="1" applyFont="1" applyBorder="1"/>
    <xf numFmtId="3" fontId="4" fillId="2" borderId="11" xfId="0" applyNumberFormat="1" applyFont="1" applyFill="1" applyBorder="1"/>
    <xf numFmtId="3" fontId="4" fillId="0" borderId="20" xfId="0" applyNumberFormat="1" applyFont="1" applyBorder="1"/>
    <xf numFmtId="3" fontId="4" fillId="2" borderId="21" xfId="0" applyNumberFormat="1" applyFont="1" applyFill="1" applyBorder="1"/>
    <xf numFmtId="3" fontId="3" fillId="0" borderId="23" xfId="0" applyNumberFormat="1" applyFont="1" applyFill="1" applyBorder="1"/>
    <xf numFmtId="3" fontId="3" fillId="0" borderId="18" xfId="0" applyNumberFormat="1" applyFont="1" applyBorder="1"/>
    <xf numFmtId="3" fontId="3" fillId="2" borderId="6" xfId="0" applyNumberFormat="1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5" xfId="0" applyNumberFormat="1" applyFont="1" applyFill="1" applyBorder="1" applyAlignment="1" applyProtection="1"/>
    <xf numFmtId="3" fontId="4" fillId="4" borderId="5" xfId="0" applyNumberFormat="1" applyFont="1" applyFill="1" applyBorder="1" applyAlignment="1">
      <alignment horizontal="right"/>
    </xf>
    <xf numFmtId="4" fontId="4" fillId="4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/>
    <xf numFmtId="0" fontId="3" fillId="4" borderId="5" xfId="0" applyFont="1" applyFill="1" applyBorder="1"/>
    <xf numFmtId="9" fontId="3" fillId="4" borderId="5" xfId="0" applyNumberFormat="1" applyFont="1" applyFill="1" applyBorder="1"/>
    <xf numFmtId="0" fontId="3" fillId="0" borderId="5" xfId="0" applyFont="1" applyFill="1" applyBorder="1"/>
    <xf numFmtId="0" fontId="3" fillId="0" borderId="0" xfId="0" applyFont="1" applyFill="1"/>
    <xf numFmtId="0" fontId="4" fillId="2" borderId="5" xfId="0" applyFont="1" applyFill="1" applyBorder="1"/>
    <xf numFmtId="0" fontId="12" fillId="5" borderId="0" xfId="1" applyFont="1" applyFill="1" applyAlignment="1" applyProtection="1"/>
    <xf numFmtId="3" fontId="12" fillId="5" borderId="0" xfId="1" applyNumberFormat="1" applyFont="1" applyFill="1" applyAlignment="1" applyProtection="1"/>
    <xf numFmtId="0" fontId="12" fillId="5" borderId="0" xfId="1" applyNumberFormat="1" applyFont="1" applyFill="1" applyBorder="1" applyAlignment="1" applyProtection="1"/>
    <xf numFmtId="0" fontId="6" fillId="0" borderId="0" xfId="0" applyFont="1" applyFill="1"/>
    <xf numFmtId="0" fontId="12" fillId="3" borderId="0" xfId="1" applyFont="1" applyFill="1" applyAlignment="1" applyProtection="1"/>
    <xf numFmtId="0" fontId="13" fillId="4" borderId="5" xfId="0" applyNumberFormat="1" applyFont="1" applyFill="1" applyBorder="1" applyAlignment="1" applyProtection="1"/>
    <xf numFmtId="0" fontId="3" fillId="4" borderId="5" xfId="0" applyNumberFormat="1" applyFont="1" applyFill="1" applyBorder="1" applyAlignment="1" applyProtection="1">
      <alignment horizontal="center"/>
    </xf>
    <xf numFmtId="0" fontId="3" fillId="0" borderId="8" xfId="0" applyFont="1" applyBorder="1"/>
    <xf numFmtId="0" fontId="10" fillId="0" borderId="0" xfId="0" applyFont="1"/>
    <xf numFmtId="0" fontId="12" fillId="2" borderId="5" xfId="1" applyFont="1" applyFill="1" applyBorder="1" applyAlignment="1" applyProtection="1">
      <alignment wrapText="1"/>
    </xf>
    <xf numFmtId="0" fontId="12" fillId="5" borderId="5" xfId="1" applyFont="1" applyFill="1" applyBorder="1" applyAlignment="1" applyProtection="1">
      <alignment wrapText="1"/>
    </xf>
    <xf numFmtId="0" fontId="3" fillId="0" borderId="5" xfId="0" applyFont="1" applyBorder="1" applyAlignment="1">
      <alignment wrapText="1"/>
    </xf>
    <xf numFmtId="0" fontId="12" fillId="6" borderId="5" xfId="1" applyFont="1" applyFill="1" applyBorder="1" applyAlignment="1" applyProtection="1">
      <alignment wrapText="1"/>
    </xf>
    <xf numFmtId="0" fontId="12" fillId="6" borderId="0" xfId="1" applyFont="1" applyFill="1" applyAlignment="1" applyProtection="1">
      <alignment wrapText="1"/>
    </xf>
    <xf numFmtId="0" fontId="12" fillId="5" borderId="0" xfId="1" applyFont="1" applyFill="1" applyAlignment="1" applyProtection="1">
      <alignment wrapText="1"/>
    </xf>
    <xf numFmtId="0" fontId="12" fillId="0" borderId="5" xfId="1" applyFont="1" applyFill="1" applyBorder="1" applyAlignment="1" applyProtection="1">
      <alignment wrapText="1"/>
    </xf>
    <xf numFmtId="0" fontId="3" fillId="0" borderId="5" xfId="0" applyFont="1" applyFill="1" applyBorder="1" applyAlignment="1">
      <alignment wrapText="1"/>
    </xf>
    <xf numFmtId="4" fontId="3" fillId="0" borderId="0" xfId="0" applyNumberFormat="1" applyFont="1" applyFill="1"/>
    <xf numFmtId="9" fontId="3" fillId="0" borderId="0" xfId="0" applyNumberFormat="1" applyFont="1" applyFill="1"/>
    <xf numFmtId="3" fontId="3" fillId="0" borderId="18" xfId="0" applyNumberFormat="1" applyFont="1" applyFill="1" applyBorder="1" applyAlignment="1" applyProtection="1"/>
    <xf numFmtId="3" fontId="3" fillId="0" borderId="18" xfId="0" applyNumberFormat="1" applyFont="1" applyBorder="1" applyAlignment="1">
      <alignment horizontal="left"/>
    </xf>
    <xf numFmtId="3" fontId="3" fillId="2" borderId="18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3" fontId="4" fillId="2" borderId="18" xfId="0" applyNumberFormat="1" applyFont="1" applyFill="1" applyBorder="1" applyAlignment="1">
      <alignment horizontal="left"/>
    </xf>
    <xf numFmtId="0" fontId="4" fillId="0" borderId="0" xfId="0" applyFont="1" applyFill="1" applyBorder="1"/>
    <xf numFmtId="9" fontId="3" fillId="0" borderId="0" xfId="0" applyNumberFormat="1" applyFont="1"/>
    <xf numFmtId="3" fontId="3" fillId="8" borderId="6" xfId="0" applyNumberFormat="1" applyFont="1" applyFill="1" applyBorder="1" applyAlignment="1">
      <alignment horizontal="left"/>
    </xf>
    <xf numFmtId="3" fontId="3" fillId="8" borderId="18" xfId="0" applyNumberFormat="1" applyFont="1" applyFill="1" applyBorder="1" applyAlignment="1">
      <alignment horizontal="left"/>
    </xf>
    <xf numFmtId="3" fontId="3" fillId="8" borderId="5" xfId="0" applyNumberFormat="1" applyFont="1" applyFill="1" applyBorder="1" applyAlignment="1" applyProtection="1"/>
    <xf numFmtId="3" fontId="4" fillId="8" borderId="5" xfId="0" applyNumberFormat="1" applyFont="1" applyFill="1" applyBorder="1" applyAlignment="1" applyProtection="1"/>
    <xf numFmtId="0" fontId="4" fillId="0" borderId="6" xfId="0" applyFont="1" applyBorder="1"/>
    <xf numFmtId="0" fontId="3" fillId="0" borderId="18" xfId="0" applyFont="1" applyBorder="1"/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3" fontId="3" fillId="7" borderId="2" xfId="0" applyNumberFormat="1" applyFont="1" applyFill="1" applyBorder="1"/>
    <xf numFmtId="3" fontId="3" fillId="7" borderId="4" xfId="0" applyNumberFormat="1" applyFont="1" applyFill="1" applyBorder="1"/>
    <xf numFmtId="0" fontId="4" fillId="0" borderId="2" xfId="0" applyFont="1" applyBorder="1"/>
    <xf numFmtId="0" fontId="3" fillId="9" borderId="2" xfId="0" applyFont="1" applyFill="1" applyBorder="1"/>
    <xf numFmtId="3" fontId="3" fillId="8" borderId="2" xfId="0" applyNumberFormat="1" applyFont="1" applyFill="1" applyBorder="1"/>
    <xf numFmtId="0" fontId="3" fillId="0" borderId="2" xfId="0" applyFont="1" applyFill="1" applyBorder="1"/>
    <xf numFmtId="3" fontId="3" fillId="8" borderId="4" xfId="0" applyNumberFormat="1" applyFont="1" applyFill="1" applyBorder="1"/>
    <xf numFmtId="0" fontId="3" fillId="0" borderId="7" xfId="0" applyFont="1" applyBorder="1"/>
    <xf numFmtId="0" fontId="3" fillId="0" borderId="1" xfId="0" applyFont="1" applyBorder="1"/>
    <xf numFmtId="0" fontId="4" fillId="0" borderId="12" xfId="0" applyFont="1" applyBorder="1"/>
    <xf numFmtId="0" fontId="3" fillId="0" borderId="14" xfId="0" applyFont="1" applyBorder="1"/>
    <xf numFmtId="0" fontId="3" fillId="7" borderId="8" xfId="0" applyFont="1" applyFill="1" applyBorder="1"/>
    <xf numFmtId="0" fontId="3" fillId="7" borderId="0" xfId="0" applyFont="1" applyFill="1" applyBorder="1"/>
    <xf numFmtId="0" fontId="3" fillId="7" borderId="12" xfId="0" applyFont="1" applyFill="1" applyBorder="1"/>
    <xf numFmtId="0" fontId="3" fillId="7" borderId="13" xfId="0" applyFont="1" applyFill="1" applyBorder="1"/>
    <xf numFmtId="3" fontId="3" fillId="10" borderId="8" xfId="0" applyNumberFormat="1" applyFont="1" applyFill="1" applyBorder="1"/>
    <xf numFmtId="3" fontId="3" fillId="10" borderId="22" xfId="0" applyNumberFormat="1" applyFont="1" applyFill="1" applyBorder="1"/>
    <xf numFmtId="4" fontId="3" fillId="10" borderId="22" xfId="0" applyNumberFormat="1" applyFont="1" applyFill="1" applyBorder="1"/>
    <xf numFmtId="3" fontId="3" fillId="10" borderId="12" xfId="0" applyNumberFormat="1" applyFont="1" applyFill="1" applyBorder="1"/>
    <xf numFmtId="4" fontId="3" fillId="10" borderId="14" xfId="0" applyNumberFormat="1" applyFont="1" applyFill="1" applyBorder="1"/>
    <xf numFmtId="0" fontId="3" fillId="10" borderId="8" xfId="0" applyFont="1" applyFill="1" applyBorder="1"/>
    <xf numFmtId="0" fontId="3" fillId="10" borderId="0" xfId="0" applyFont="1" applyFill="1" applyBorder="1"/>
    <xf numFmtId="9" fontId="3" fillId="10" borderId="2" xfId="0" applyNumberFormat="1" applyFont="1" applyFill="1" applyBorder="1"/>
    <xf numFmtId="3" fontId="3" fillId="10" borderId="2" xfId="0" applyNumberFormat="1" applyFont="1" applyFill="1" applyBorder="1"/>
    <xf numFmtId="0" fontId="3" fillId="10" borderId="2" xfId="0" applyFont="1" applyFill="1" applyBorder="1"/>
    <xf numFmtId="3" fontId="3" fillId="0" borderId="4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 applyProtection="1"/>
    <xf numFmtId="0" fontId="3" fillId="0" borderId="5" xfId="5" applyNumberFormat="1" applyFont="1" applyFill="1" applyBorder="1" applyAlignment="1" applyProtection="1"/>
    <xf numFmtId="1" fontId="3" fillId="0" borderId="5" xfId="0" applyNumberFormat="1" applyFont="1" applyBorder="1"/>
    <xf numFmtId="0" fontId="17" fillId="0" borderId="5" xfId="0" applyFont="1" applyFill="1" applyBorder="1" applyAlignment="1">
      <alignment wrapText="1"/>
    </xf>
    <xf numFmtId="0" fontId="0" fillId="0" borderId="5" xfId="0" applyBorder="1"/>
    <xf numFmtId="164" fontId="3" fillId="0" borderId="5" xfId="0" applyNumberFormat="1" applyFont="1" applyFill="1" applyBorder="1"/>
    <xf numFmtId="1" fontId="3" fillId="0" borderId="5" xfId="0" applyNumberFormat="1" applyFont="1" applyFill="1" applyBorder="1"/>
    <xf numFmtId="1" fontId="0" fillId="0" borderId="5" xfId="0" applyNumberFormat="1" applyBorder="1"/>
    <xf numFmtId="3" fontId="3" fillId="0" borderId="6" xfId="0" applyNumberFormat="1" applyFont="1" applyFill="1" applyBorder="1" applyAlignment="1">
      <alignment horizontal="left"/>
    </xf>
    <xf numFmtId="3" fontId="3" fillId="8" borderId="6" xfId="0" applyNumberFormat="1" applyFont="1" applyFill="1" applyBorder="1" applyAlignment="1" applyProtection="1"/>
    <xf numFmtId="3" fontId="3" fillId="8" borderId="18" xfId="0" applyNumberFormat="1" applyFont="1" applyFill="1" applyBorder="1" applyAlignment="1" applyProtection="1"/>
    <xf numFmtId="3" fontId="4" fillId="0" borderId="7" xfId="0" applyNumberFormat="1" applyFont="1" applyFill="1" applyBorder="1" applyAlignment="1">
      <alignment horizontal="left"/>
    </xf>
    <xf numFmtId="3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3" fontId="3" fillId="0" borderId="18" xfId="0" applyNumberFormat="1" applyFont="1" applyFill="1" applyBorder="1" applyAlignment="1">
      <alignment horizontal="left"/>
    </xf>
    <xf numFmtId="0" fontId="3" fillId="11" borderId="5" xfId="5" applyNumberFormat="1" applyFont="1" applyFill="1" applyBorder="1" applyAlignment="1" applyProtection="1"/>
    <xf numFmtId="0" fontId="3" fillId="11" borderId="5" xfId="0" applyNumberFormat="1" applyFont="1" applyFill="1" applyBorder="1" applyAlignment="1" applyProtection="1"/>
    <xf numFmtId="1" fontId="3" fillId="11" borderId="5" xfId="0" applyNumberFormat="1" applyFont="1" applyFill="1" applyBorder="1"/>
    <xf numFmtId="0" fontId="3" fillId="2" borderId="4" xfId="0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left"/>
    </xf>
    <xf numFmtId="4" fontId="3" fillId="0" borderId="5" xfId="0" applyNumberFormat="1" applyFont="1" applyBorder="1" applyAlignment="1">
      <alignment horizontal="right"/>
    </xf>
    <xf numFmtId="166" fontId="3" fillId="0" borderId="5" xfId="0" applyNumberFormat="1" applyFont="1" applyFill="1" applyBorder="1"/>
    <xf numFmtId="0" fontId="3" fillId="12" borderId="5" xfId="0" applyFont="1" applyFill="1" applyBorder="1"/>
    <xf numFmtId="0" fontId="11" fillId="13" borderId="5" xfId="1" applyFill="1" applyBorder="1" applyAlignment="1" applyProtection="1">
      <alignment wrapText="1"/>
    </xf>
    <xf numFmtId="0" fontId="3" fillId="0" borderId="5" xfId="0" applyFont="1" applyFill="1" applyBorder="1" applyAlignment="1">
      <alignment horizontal="center"/>
    </xf>
    <xf numFmtId="164" fontId="3" fillId="0" borderId="5" xfId="4" applyNumberFormat="1" applyFont="1" applyFill="1" applyBorder="1"/>
    <xf numFmtId="0" fontId="3" fillId="0" borderId="5" xfId="4" applyFont="1" applyFill="1" applyBorder="1"/>
    <xf numFmtId="164" fontId="3" fillId="0" borderId="5" xfId="3" applyNumberFormat="1" applyFont="1" applyFill="1" applyBorder="1"/>
    <xf numFmtId="0" fontId="3" fillId="0" borderId="5" xfId="3" applyFont="1" applyFill="1" applyBorder="1"/>
    <xf numFmtId="3" fontId="3" fillId="10" borderId="7" xfId="0" applyNumberFormat="1" applyFont="1" applyFill="1" applyBorder="1"/>
    <xf numFmtId="3" fontId="14" fillId="0" borderId="22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/>
    </xf>
    <xf numFmtId="3" fontId="4" fillId="2" borderId="14" xfId="0" applyNumberFormat="1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left"/>
    </xf>
    <xf numFmtId="4" fontId="3" fillId="0" borderId="0" xfId="0" applyNumberFormat="1" applyFont="1" applyFill="1" applyBorder="1"/>
    <xf numFmtId="0" fontId="4" fillId="0" borderId="6" xfId="0" applyFont="1" applyBorder="1" applyAlignment="1"/>
    <xf numFmtId="0" fontId="4" fillId="0" borderId="5" xfId="0" applyFont="1" applyBorder="1" applyAlignment="1">
      <alignment horizontal="right"/>
    </xf>
    <xf numFmtId="3" fontId="4" fillId="2" borderId="30" xfId="0" applyNumberFormat="1" applyFont="1" applyFill="1" applyBorder="1" applyAlignment="1">
      <alignment horizontal="left"/>
    </xf>
    <xf numFmtId="3" fontId="4" fillId="0" borderId="30" xfId="0" applyNumberFormat="1" applyFont="1" applyFill="1" applyBorder="1" applyAlignment="1">
      <alignment horizontal="left"/>
    </xf>
    <xf numFmtId="3" fontId="3" fillId="8" borderId="30" xfId="0" applyNumberFormat="1" applyFont="1" applyFill="1" applyBorder="1" applyAlignment="1" applyProtection="1"/>
    <xf numFmtId="3" fontId="3" fillId="0" borderId="30" xfId="0" applyNumberFormat="1" applyFont="1" applyFill="1" applyBorder="1" applyAlignment="1" applyProtection="1"/>
    <xf numFmtId="3" fontId="3" fillId="8" borderId="30" xfId="0" applyNumberFormat="1" applyFont="1" applyFill="1" applyBorder="1" applyAlignment="1">
      <alignment horizontal="left"/>
    </xf>
    <xf numFmtId="3" fontId="3" fillId="0" borderId="30" xfId="0" applyNumberFormat="1" applyFont="1" applyBorder="1" applyAlignment="1">
      <alignment horizontal="left"/>
    </xf>
    <xf numFmtId="3" fontId="3" fillId="2" borderId="30" xfId="0" applyNumberFormat="1" applyFont="1" applyFill="1" applyBorder="1" applyAlignment="1">
      <alignment horizontal="left"/>
    </xf>
    <xf numFmtId="3" fontId="3" fillId="0" borderId="36" xfId="0" applyNumberFormat="1" applyFont="1" applyFill="1" applyBorder="1" applyAlignment="1">
      <alignment horizontal="left"/>
    </xf>
    <xf numFmtId="3" fontId="3" fillId="2" borderId="36" xfId="0" applyNumberFormat="1" applyFont="1" applyFill="1" applyBorder="1" applyAlignment="1">
      <alignment horizontal="left"/>
    </xf>
    <xf numFmtId="3" fontId="3" fillId="0" borderId="30" xfId="0" applyNumberFormat="1" applyFont="1" applyFill="1" applyBorder="1" applyAlignment="1">
      <alignment horizontal="left"/>
    </xf>
    <xf numFmtId="4" fontId="3" fillId="10" borderId="5" xfId="0" applyNumberFormat="1" applyFont="1" applyFill="1" applyBorder="1"/>
    <xf numFmtId="0" fontId="3" fillId="2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left"/>
    </xf>
    <xf numFmtId="1" fontId="3" fillId="11" borderId="5" xfId="0" applyNumberFormat="1" applyFont="1" applyFill="1" applyBorder="1" applyAlignment="1">
      <alignment horizontal="right"/>
    </xf>
    <xf numFmtId="1" fontId="3" fillId="0" borderId="5" xfId="0" applyNumberFormat="1" applyFont="1" applyFill="1" applyBorder="1" applyAlignment="1">
      <alignment horizontal="right"/>
    </xf>
    <xf numFmtId="1" fontId="3" fillId="2" borderId="5" xfId="0" applyNumberFormat="1" applyFont="1" applyFill="1" applyBorder="1"/>
    <xf numFmtId="0" fontId="3" fillId="8" borderId="5" xfId="0" applyFont="1" applyFill="1" applyBorder="1"/>
    <xf numFmtId="3" fontId="3" fillId="8" borderId="5" xfId="0" applyNumberFormat="1" applyFont="1" applyFill="1" applyBorder="1"/>
    <xf numFmtId="3" fontId="3" fillId="11" borderId="5" xfId="0" applyNumberFormat="1" applyFont="1" applyFill="1" applyBorder="1" applyAlignment="1">
      <alignment horizontal="right"/>
    </xf>
    <xf numFmtId="3" fontId="3" fillId="11" borderId="5" xfId="0" applyNumberFormat="1" applyFont="1" applyFill="1" applyBorder="1"/>
    <xf numFmtId="0" fontId="3" fillId="0" borderId="0" xfId="0" applyFont="1" applyAlignment="1">
      <alignment horizontal="center"/>
    </xf>
    <xf numFmtId="3" fontId="3" fillId="2" borderId="5" xfId="0" applyNumberFormat="1" applyFont="1" applyFill="1" applyBorder="1" applyAlignment="1">
      <alignment horizontal="center" wrapText="1"/>
    </xf>
    <xf numFmtId="3" fontId="3" fillId="2" borderId="7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 applyProtection="1"/>
    <xf numFmtId="3" fontId="2" fillId="8" borderId="5" xfId="0" applyNumberFormat="1" applyFont="1" applyFill="1" applyBorder="1"/>
    <xf numFmtId="9" fontId="3" fillId="0" borderId="0" xfId="2" applyFont="1"/>
    <xf numFmtId="2" fontId="3" fillId="10" borderId="2" xfId="0" applyNumberFormat="1" applyFont="1" applyFill="1" applyBorder="1"/>
    <xf numFmtId="3" fontId="4" fillId="14" borderId="5" xfId="0" applyNumberFormat="1" applyFont="1" applyFill="1" applyBorder="1" applyAlignment="1" applyProtection="1"/>
    <xf numFmtId="3" fontId="4" fillId="14" borderId="5" xfId="0" applyNumberFormat="1" applyFont="1" applyFill="1" applyBorder="1"/>
    <xf numFmtId="166" fontId="4" fillId="2" borderId="5" xfId="0" applyNumberFormat="1" applyFont="1" applyFill="1" applyBorder="1"/>
    <xf numFmtId="164" fontId="4" fillId="2" borderId="5" xfId="0" applyNumberFormat="1" applyFont="1" applyFill="1" applyBorder="1"/>
    <xf numFmtId="10" fontId="3" fillId="0" borderId="0" xfId="2" applyNumberFormat="1" applyFont="1"/>
    <xf numFmtId="3" fontId="4" fillId="2" borderId="5" xfId="0" applyNumberFormat="1" applyFont="1" applyFill="1" applyBorder="1" applyAlignment="1">
      <alignment horizontal="left"/>
    </xf>
    <xf numFmtId="3" fontId="3" fillId="2" borderId="33" xfId="0" applyNumberFormat="1" applyFont="1" applyFill="1" applyBorder="1" applyAlignment="1"/>
    <xf numFmtId="3" fontId="3" fillId="2" borderId="12" xfId="0" applyNumberFormat="1" applyFont="1" applyFill="1" applyBorder="1" applyAlignment="1">
      <alignment wrapText="1"/>
    </xf>
    <xf numFmtId="3" fontId="4" fillId="0" borderId="6" xfId="0" applyNumberFormat="1" applyFont="1" applyBorder="1"/>
    <xf numFmtId="3" fontId="4" fillId="2" borderId="37" xfId="0" applyNumberFormat="1" applyFont="1" applyFill="1" applyBorder="1"/>
    <xf numFmtId="0" fontId="4" fillId="15" borderId="5" xfId="0" applyFont="1" applyFill="1" applyBorder="1"/>
    <xf numFmtId="3" fontId="4" fillId="15" borderId="5" xfId="0" applyNumberFormat="1" applyFont="1" applyFill="1" applyBorder="1"/>
    <xf numFmtId="164" fontId="3" fillId="4" borderId="5" xfId="0" applyNumberFormat="1" applyFont="1" applyFill="1" applyBorder="1" applyAlignment="1" applyProtection="1">
      <alignment horizontal="center"/>
    </xf>
    <xf numFmtId="167" fontId="3" fillId="0" borderId="5" xfId="6" applyNumberFormat="1" applyFont="1" applyFill="1" applyBorder="1" applyAlignment="1">
      <alignment wrapText="1"/>
    </xf>
    <xf numFmtId="167" fontId="3" fillId="0" borderId="5" xfId="6" applyNumberFormat="1" applyFont="1" applyBorder="1"/>
    <xf numFmtId="167" fontId="17" fillId="0" borderId="5" xfId="6" applyNumberFormat="1" applyFont="1" applyFill="1" applyBorder="1" applyAlignment="1">
      <alignment wrapText="1"/>
    </xf>
    <xf numFmtId="167" fontId="3" fillId="0" borderId="5" xfId="6" applyNumberFormat="1" applyFont="1" applyFill="1" applyBorder="1"/>
    <xf numFmtId="167" fontId="17" fillId="0" borderId="5" xfId="6" applyNumberFormat="1" applyFont="1" applyFill="1" applyBorder="1"/>
    <xf numFmtId="167" fontId="3" fillId="2" borderId="5" xfId="6" applyNumberFormat="1" applyFont="1" applyFill="1" applyBorder="1"/>
    <xf numFmtId="167" fontId="4" fillId="0" borderId="5" xfId="6" applyNumberFormat="1" applyFont="1" applyBorder="1"/>
    <xf numFmtId="167" fontId="4" fillId="2" borderId="5" xfId="6" applyNumberFormat="1" applyFont="1" applyFill="1" applyBorder="1"/>
    <xf numFmtId="3" fontId="3" fillId="10" borderId="5" xfId="0" applyNumberFormat="1" applyFont="1" applyFill="1" applyBorder="1"/>
    <xf numFmtId="0" fontId="3" fillId="0" borderId="0" xfId="0" applyNumberFormat="1" applyFont="1" applyFill="1" applyBorder="1" applyAlignment="1" applyProtection="1">
      <alignment horizontal="left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/>
    <xf numFmtId="3" fontId="3" fillId="2" borderId="9" xfId="0" applyNumberFormat="1" applyFont="1" applyFill="1" applyBorder="1" applyAlignment="1">
      <alignment horizontal="center" wrapText="1"/>
    </xf>
    <xf numFmtId="3" fontId="3" fillId="2" borderId="32" xfId="0" applyNumberFormat="1" applyFont="1" applyFill="1" applyBorder="1" applyAlignment="1">
      <alignment horizontal="center" wrapText="1"/>
    </xf>
    <xf numFmtId="3" fontId="3" fillId="2" borderId="16" xfId="0" applyNumberFormat="1" applyFont="1" applyFill="1" applyBorder="1" applyAlignment="1">
      <alignment horizontal="center" wrapText="1"/>
    </xf>
    <xf numFmtId="166" fontId="3" fillId="2" borderId="5" xfId="0" applyNumberFormat="1" applyFont="1" applyFill="1" applyBorder="1"/>
    <xf numFmtId="1" fontId="3" fillId="9" borderId="2" xfId="0" applyNumberFormat="1" applyFont="1" applyFill="1" applyBorder="1"/>
    <xf numFmtId="165" fontId="3" fillId="9" borderId="2" xfId="0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NumberFormat="1" applyFont="1" applyFill="1" applyBorder="1" applyAlignment="1" applyProtection="1"/>
    <xf numFmtId="0" fontId="3" fillId="0" borderId="0" xfId="0" applyFont="1" applyAlignment="1">
      <alignment horizontal="left"/>
    </xf>
    <xf numFmtId="0" fontId="4" fillId="8" borderId="7" xfId="0" applyFont="1" applyFill="1" applyBorder="1"/>
    <xf numFmtId="3" fontId="3" fillId="0" borderId="0" xfId="0" applyNumberFormat="1" applyFont="1" applyAlignment="1">
      <alignment horizontal="left"/>
    </xf>
    <xf numFmtId="3" fontId="3" fillId="16" borderId="5" xfId="0" applyNumberFormat="1" applyFont="1" applyFill="1" applyBorder="1"/>
    <xf numFmtId="3" fontId="3" fillId="0" borderId="0" xfId="0" applyNumberFormat="1" applyFont="1" applyFill="1" applyAlignment="1">
      <alignment horizontal="left"/>
    </xf>
    <xf numFmtId="3" fontId="3" fillId="0" borderId="20" xfId="0" applyNumberFormat="1" applyFont="1" applyFill="1" applyBorder="1"/>
    <xf numFmtId="0" fontId="3" fillId="2" borderId="3" xfId="0" applyNumberFormat="1" applyFont="1" applyFill="1" applyBorder="1" applyAlignment="1" applyProtection="1">
      <alignment horizontal="center" wrapText="1"/>
    </xf>
    <xf numFmtId="0" fontId="3" fillId="2" borderId="3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/>
    <xf numFmtId="3" fontId="3" fillId="2" borderId="30" xfId="0" applyNumberFormat="1" applyFont="1" applyFill="1" applyBorder="1" applyAlignment="1"/>
    <xf numFmtId="9" fontId="0" fillId="0" borderId="0" xfId="0" applyNumberFormat="1"/>
    <xf numFmtId="3" fontId="4" fillId="8" borderId="5" xfId="0" applyNumberFormat="1" applyFont="1" applyFill="1" applyBorder="1"/>
    <xf numFmtId="0" fontId="3" fillId="2" borderId="12" xfId="0" applyFont="1" applyFill="1" applyBorder="1" applyAlignment="1">
      <alignment wrapText="1"/>
    </xf>
    <xf numFmtId="0" fontId="4" fillId="0" borderId="5" xfId="0" applyFont="1" applyBorder="1"/>
    <xf numFmtId="9" fontId="3" fillId="10" borderId="3" xfId="2" applyFont="1" applyFill="1" applyBorder="1"/>
    <xf numFmtId="9" fontId="3" fillId="10" borderId="2" xfId="2" applyFont="1" applyFill="1" applyBorder="1"/>
    <xf numFmtId="9" fontId="3" fillId="10" borderId="22" xfId="2" applyFont="1" applyFill="1" applyBorder="1"/>
    <xf numFmtId="9" fontId="3" fillId="10" borderId="4" xfId="2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" fontId="3" fillId="9" borderId="0" xfId="0" applyNumberFormat="1" applyFont="1" applyFill="1" applyBorder="1"/>
    <xf numFmtId="3" fontId="3" fillId="8" borderId="0" xfId="0" applyNumberFormat="1" applyFont="1" applyFill="1" applyBorder="1"/>
    <xf numFmtId="0" fontId="3" fillId="0" borderId="0" xfId="0" applyFont="1" applyFill="1" applyBorder="1"/>
    <xf numFmtId="165" fontId="3" fillId="9" borderId="0" xfId="0" applyNumberFormat="1" applyFont="1" applyFill="1" applyBorder="1"/>
    <xf numFmtId="0" fontId="3" fillId="9" borderId="0" xfId="0" applyFont="1" applyFill="1" applyBorder="1"/>
    <xf numFmtId="3" fontId="3" fillId="14" borderId="3" xfId="0" applyNumberFormat="1" applyFont="1" applyFill="1" applyBorder="1" applyAlignment="1">
      <alignment horizontal="center" wrapText="1"/>
    </xf>
    <xf numFmtId="3" fontId="3" fillId="14" borderId="2" xfId="0" applyNumberFormat="1" applyFont="1" applyFill="1" applyBorder="1" applyAlignment="1">
      <alignment horizontal="center" wrapText="1"/>
    </xf>
    <xf numFmtId="3" fontId="3" fillId="14" borderId="4" xfId="0" applyNumberFormat="1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3" fontId="3" fillId="2" borderId="4" xfId="0" applyNumberFormat="1" applyFont="1" applyFill="1" applyBorder="1" applyAlignment="1">
      <alignment horizontal="center" wrapText="1"/>
    </xf>
    <xf numFmtId="3" fontId="3" fillId="2" borderId="6" xfId="0" applyNumberFormat="1" applyFont="1" applyFill="1" applyBorder="1" applyAlignment="1">
      <alignment horizontal="center"/>
    </xf>
    <xf numFmtId="3" fontId="3" fillId="2" borderId="30" xfId="0" applyNumberFormat="1" applyFont="1" applyFill="1" applyBorder="1" applyAlignment="1">
      <alignment horizontal="center"/>
    </xf>
    <xf numFmtId="3" fontId="3" fillId="2" borderId="18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right" wrapText="1"/>
    </xf>
    <xf numFmtId="3" fontId="3" fillId="2" borderId="4" xfId="0" applyNumberFormat="1" applyFont="1" applyFill="1" applyBorder="1" applyAlignment="1">
      <alignment horizontal="right" wrapText="1"/>
    </xf>
    <xf numFmtId="3" fontId="3" fillId="2" borderId="3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32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3" fillId="2" borderId="25" xfId="0" applyNumberFormat="1" applyFont="1" applyFill="1" applyBorder="1" applyAlignment="1">
      <alignment horizontal="center"/>
    </xf>
    <xf numFmtId="3" fontId="3" fillId="2" borderId="26" xfId="0" applyNumberFormat="1" applyFont="1" applyFill="1" applyBorder="1" applyAlignment="1">
      <alignment horizontal="center"/>
    </xf>
    <xf numFmtId="3" fontId="3" fillId="2" borderId="31" xfId="0" applyNumberFormat="1" applyFont="1" applyFill="1" applyBorder="1" applyAlignment="1">
      <alignment horizontal="center"/>
    </xf>
    <xf numFmtId="3" fontId="3" fillId="2" borderId="23" xfId="0" applyNumberFormat="1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center" wrapText="1"/>
    </xf>
    <xf numFmtId="3" fontId="3" fillId="2" borderId="20" xfId="0" applyNumberFormat="1" applyFont="1" applyFill="1" applyBorder="1" applyAlignment="1">
      <alignment horizontal="center" wrapText="1"/>
    </xf>
    <xf numFmtId="3" fontId="3" fillId="2" borderId="9" xfId="0" applyNumberFormat="1" applyFont="1" applyFill="1" applyBorder="1" applyAlignment="1">
      <alignment horizontal="center" wrapText="1"/>
    </xf>
    <xf numFmtId="3" fontId="3" fillId="2" borderId="32" xfId="0" applyNumberFormat="1" applyFont="1" applyFill="1" applyBorder="1" applyAlignment="1">
      <alignment horizontal="center" wrapText="1"/>
    </xf>
    <xf numFmtId="3" fontId="3" fillId="2" borderId="16" xfId="0" applyNumberFormat="1" applyFont="1" applyFill="1" applyBorder="1" applyAlignment="1">
      <alignment horizontal="center" wrapText="1"/>
    </xf>
    <xf numFmtId="3" fontId="3" fillId="2" borderId="35" xfId="0" applyNumberFormat="1" applyFont="1" applyFill="1" applyBorder="1" applyAlignment="1">
      <alignment horizontal="center" wrapText="1"/>
    </xf>
    <xf numFmtId="3" fontId="3" fillId="2" borderId="15" xfId="0" applyNumberFormat="1" applyFont="1" applyFill="1" applyBorder="1" applyAlignment="1">
      <alignment horizontal="center" wrapText="1"/>
    </xf>
    <xf numFmtId="3" fontId="3" fillId="2" borderId="34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</cellXfs>
  <cellStyles count="7">
    <cellStyle name="Hyperkobling" xfId="1" builtinId="8"/>
    <cellStyle name="Komma" xfId="6" builtinId="3"/>
    <cellStyle name="Normal" xfId="0" builtinId="0"/>
    <cellStyle name="Normal 2" xfId="3"/>
    <cellStyle name="Normal 3" xfId="4"/>
    <cellStyle name="Normal 4" xfId="5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120" zoomScaleNormal="120" workbookViewId="0">
      <selection activeCell="I17" sqref="I17"/>
    </sheetView>
  </sheetViews>
  <sheetFormatPr baseColWidth="10" defaultColWidth="9.140625" defaultRowHeight="12.75" x14ac:dyDescent="0.2"/>
  <cols>
    <col min="1" max="1" width="29.85546875" style="35" customWidth="1"/>
    <col min="2" max="2" width="7.28515625" style="35" customWidth="1"/>
    <col min="3" max="3" width="7" style="35" customWidth="1"/>
    <col min="4" max="10" width="15.140625" style="35" customWidth="1"/>
    <col min="11" max="11" width="12.85546875" style="35" customWidth="1"/>
    <col min="12" max="16384" width="9.140625" style="35"/>
  </cols>
  <sheetData>
    <row r="1" spans="1:13" ht="18.75" customHeight="1" x14ac:dyDescent="0.35">
      <c r="A1" s="1"/>
      <c r="B1" s="280"/>
      <c r="C1" s="178"/>
      <c r="D1" s="282" t="s">
        <v>6</v>
      </c>
      <c r="E1" s="277" t="s">
        <v>11</v>
      </c>
      <c r="F1" s="277" t="s">
        <v>129</v>
      </c>
      <c r="G1" s="277" t="s">
        <v>13</v>
      </c>
      <c r="H1" s="282" t="s">
        <v>258</v>
      </c>
      <c r="I1" s="282" t="s">
        <v>270</v>
      </c>
      <c r="J1" s="282" t="s">
        <v>269</v>
      </c>
      <c r="K1" s="272" t="s">
        <v>268</v>
      </c>
    </row>
    <row r="2" spans="1:13" ht="12.75" customHeight="1" x14ac:dyDescent="0.35">
      <c r="A2" s="3"/>
      <c r="B2" s="281"/>
      <c r="C2" s="179"/>
      <c r="D2" s="283"/>
      <c r="E2" s="278"/>
      <c r="F2" s="278"/>
      <c r="G2" s="278"/>
      <c r="H2" s="283"/>
      <c r="I2" s="283"/>
      <c r="J2" s="283"/>
      <c r="K2" s="273"/>
    </row>
    <row r="3" spans="1:13" ht="34.5" customHeight="1" x14ac:dyDescent="0.2">
      <c r="A3" s="20"/>
      <c r="B3" s="185"/>
      <c r="C3" s="180"/>
      <c r="D3" s="284"/>
      <c r="E3" s="279"/>
      <c r="F3" s="279"/>
      <c r="G3" s="279"/>
      <c r="H3" s="284"/>
      <c r="I3" s="284"/>
      <c r="J3" s="284"/>
      <c r="K3" s="274"/>
    </row>
    <row r="4" spans="1:13" ht="12.75" customHeight="1" x14ac:dyDescent="0.2">
      <c r="A4" s="159"/>
      <c r="B4" s="186"/>
      <c r="C4" s="181"/>
      <c r="D4" s="160"/>
      <c r="E4" s="161"/>
      <c r="F4" s="161"/>
      <c r="G4" s="161"/>
      <c r="H4" s="160"/>
      <c r="I4" s="160"/>
      <c r="J4" s="160"/>
      <c r="K4" s="160"/>
    </row>
    <row r="5" spans="1:13" s="85" customFormat="1" x14ac:dyDescent="0.2">
      <c r="A5" s="157" t="s">
        <v>5</v>
      </c>
      <c r="B5" s="187"/>
      <c r="C5" s="158"/>
      <c r="D5" s="116">
        <f>Hovedark!G6</f>
        <v>0</v>
      </c>
      <c r="E5" s="116">
        <f>Hovedark!L6</f>
        <v>22339.455999999998</v>
      </c>
      <c r="F5" s="116">
        <f>Hovedark!Q6</f>
        <v>20645</v>
      </c>
      <c r="G5" s="116">
        <f>Hovedark!V6</f>
        <v>149492</v>
      </c>
      <c r="H5" s="117">
        <f t="shared" ref="H5:H15" si="0">D5+E5+F5+G5</f>
        <v>192476.45600000001</v>
      </c>
      <c r="I5" s="117">
        <f>H5*0.01</f>
        <v>1924.7645600000001</v>
      </c>
      <c r="J5" s="117">
        <f>H5-I5</f>
        <v>190551.69144</v>
      </c>
      <c r="K5" s="213">
        <v>180640.08000000002</v>
      </c>
      <c r="L5" s="217">
        <f>(J5-K5)/K5</f>
        <v>5.4869392440481522E-2</v>
      </c>
      <c r="M5" s="3">
        <f>J5-K5</f>
        <v>9911.6114399999788</v>
      </c>
    </row>
    <row r="6" spans="1:13" s="85" customFormat="1" x14ac:dyDescent="0.2">
      <c r="A6" s="50"/>
      <c r="B6" s="188"/>
      <c r="C6" s="106"/>
      <c r="D6" s="15"/>
      <c r="E6" s="15"/>
      <c r="F6" s="15"/>
      <c r="G6" s="15"/>
      <c r="H6" s="16"/>
      <c r="I6" s="16"/>
      <c r="J6" s="16"/>
      <c r="K6" s="16"/>
      <c r="L6" s="217"/>
      <c r="M6" s="3"/>
    </row>
    <row r="7" spans="1:13" ht="13.5" customHeight="1" x14ac:dyDescent="0.2">
      <c r="A7" s="114" t="s">
        <v>3</v>
      </c>
      <c r="B7" s="189"/>
      <c r="C7" s="115"/>
      <c r="D7" s="116">
        <f>Hovedark!G8</f>
        <v>60345.483997598829</v>
      </c>
      <c r="E7" s="116">
        <f>Hovedark!L8</f>
        <v>82734.617111996573</v>
      </c>
      <c r="F7" s="116">
        <f>Hovedark!Q8</f>
        <v>0</v>
      </c>
      <c r="G7" s="116">
        <f>Hovedark!V8</f>
        <v>450</v>
      </c>
      <c r="H7" s="117">
        <f t="shared" si="0"/>
        <v>143530.10110959539</v>
      </c>
      <c r="I7" s="117">
        <f>H7*0.01</f>
        <v>1435.301011095954</v>
      </c>
      <c r="J7" s="117">
        <f>H7-I7</f>
        <v>142094.80009849943</v>
      </c>
      <c r="K7" s="213">
        <v>137446.96423654875</v>
      </c>
      <c r="L7" s="217">
        <f>(J7-K7)/K7</f>
        <v>3.3815485760396023E-2</v>
      </c>
      <c r="M7" s="3">
        <f>J7-K7</f>
        <v>4647.8358619506762</v>
      </c>
    </row>
    <row r="8" spans="1:13" ht="13.5" customHeight="1" x14ac:dyDescent="0.2">
      <c r="A8" s="156"/>
      <c r="B8" s="194"/>
      <c r="C8" s="162"/>
      <c r="D8" s="15"/>
      <c r="E8" s="15"/>
      <c r="F8" s="15"/>
      <c r="G8" s="15"/>
      <c r="H8" s="16"/>
      <c r="I8" s="16"/>
      <c r="J8" s="16"/>
      <c r="K8" s="16"/>
      <c r="L8" s="217"/>
      <c r="M8" s="3"/>
    </row>
    <row r="9" spans="1:13" x14ac:dyDescent="0.2">
      <c r="A9" s="77" t="s">
        <v>131</v>
      </c>
      <c r="B9" s="193"/>
      <c r="C9" s="110"/>
      <c r="D9" s="78">
        <f>Hovedark!G10</f>
        <v>63031.854387386527</v>
      </c>
      <c r="E9" s="116">
        <f>Hovedark!L10</f>
        <v>33415.061949298171</v>
      </c>
      <c r="F9" s="78">
        <f>Hovedark!Q10</f>
        <v>0</v>
      </c>
      <c r="G9" s="78">
        <f>Hovedark!V10</f>
        <v>0</v>
      </c>
      <c r="H9" s="117">
        <f>D9+E9+F9+G9</f>
        <v>96446.916336684691</v>
      </c>
      <c r="I9" s="117">
        <f>H9*0.01</f>
        <v>964.46916336684694</v>
      </c>
      <c r="J9" s="117">
        <f>H9-I9</f>
        <v>95482.447173317851</v>
      </c>
      <c r="K9" s="213">
        <v>89861.544910225901</v>
      </c>
      <c r="L9" s="217">
        <f>(J9-K9)/K9</f>
        <v>6.2550696949483592E-2</v>
      </c>
      <c r="M9" s="3">
        <f>J9-K9</f>
        <v>5620.9022630919499</v>
      </c>
    </row>
    <row r="10" spans="1:13" ht="12.75" customHeight="1" x14ac:dyDescent="0.2">
      <c r="A10" s="8"/>
      <c r="B10" s="190"/>
      <c r="C10" s="107"/>
      <c r="D10" s="15"/>
      <c r="E10" s="15"/>
      <c r="F10" s="15"/>
      <c r="G10" s="15"/>
      <c r="H10" s="16"/>
      <c r="I10" s="16"/>
      <c r="J10" s="16"/>
      <c r="K10" s="16"/>
      <c r="L10" s="217"/>
      <c r="M10" s="3"/>
    </row>
    <row r="11" spans="1:13" x14ac:dyDescent="0.2">
      <c r="A11" s="76" t="s">
        <v>145</v>
      </c>
      <c r="B11" s="191"/>
      <c r="C11" s="108"/>
      <c r="D11" s="34">
        <f>Hovedark!G12</f>
        <v>114848.40028593705</v>
      </c>
      <c r="E11" s="116">
        <f>Hovedark!L12</f>
        <v>110828.68353611746</v>
      </c>
      <c r="F11" s="116">
        <f>Hovedark!Q12</f>
        <v>15491</v>
      </c>
      <c r="G11" s="116">
        <f>Hovedark!V12</f>
        <v>1100</v>
      </c>
      <c r="H11" s="117">
        <f t="shared" si="0"/>
        <v>242268.0838220545</v>
      </c>
      <c r="I11" s="117">
        <f>H11*0.01</f>
        <v>2422.680838220545</v>
      </c>
      <c r="J11" s="117">
        <f>H11-I11</f>
        <v>239845.40298383395</v>
      </c>
      <c r="K11" s="213">
        <v>234973.37262903919</v>
      </c>
      <c r="L11" s="217">
        <f>(J11-K11)/K11</f>
        <v>2.0734393434810174E-2</v>
      </c>
      <c r="M11" s="3">
        <f>J11-K11</f>
        <v>4872.0303547947551</v>
      </c>
    </row>
    <row r="12" spans="1:13" x14ac:dyDescent="0.2">
      <c r="A12" s="10"/>
      <c r="B12" s="192"/>
      <c r="C12" s="109"/>
      <c r="D12" s="9"/>
      <c r="E12" s="15"/>
      <c r="F12" s="15"/>
      <c r="G12" s="15"/>
      <c r="H12" s="16"/>
      <c r="I12" s="16"/>
      <c r="J12" s="16"/>
      <c r="K12" s="213"/>
      <c r="L12" s="217"/>
      <c r="M12" s="3"/>
    </row>
    <row r="13" spans="1:13" x14ac:dyDescent="0.2">
      <c r="A13" s="77" t="s">
        <v>254</v>
      </c>
      <c r="B13" s="193"/>
      <c r="C13" s="110"/>
      <c r="D13" s="34">
        <f>Hovedark!G14</f>
        <v>0</v>
      </c>
      <c r="E13" s="116">
        <f>Hovedark!L14</f>
        <v>22564.716479999999</v>
      </c>
      <c r="F13" s="116">
        <f>Hovedark!Q14</f>
        <v>0</v>
      </c>
      <c r="G13" s="116">
        <f>Hovedark!V14</f>
        <v>0</v>
      </c>
      <c r="H13" s="117">
        <f t="shared" si="0"/>
        <v>22564.716479999999</v>
      </c>
      <c r="I13" s="117"/>
      <c r="J13" s="117">
        <f>H13-I13</f>
        <v>22564.716479999999</v>
      </c>
      <c r="K13" s="213"/>
      <c r="L13" s="217"/>
      <c r="M13" s="3"/>
    </row>
    <row r="14" spans="1:13" x14ac:dyDescent="0.2">
      <c r="A14" s="10"/>
      <c r="B14" s="192"/>
      <c r="C14" s="109"/>
      <c r="D14" s="9"/>
      <c r="E14" s="15"/>
      <c r="F14" s="15"/>
      <c r="G14" s="15"/>
      <c r="H14" s="16"/>
      <c r="I14" s="16"/>
      <c r="J14" s="16"/>
      <c r="K14" s="213"/>
      <c r="L14" s="217"/>
      <c r="M14" s="3"/>
    </row>
    <row r="15" spans="1:13" x14ac:dyDescent="0.2">
      <c r="A15" s="77" t="s">
        <v>255</v>
      </c>
      <c r="B15" s="193"/>
      <c r="C15" s="110"/>
      <c r="D15" s="34">
        <f>Hovedark!G16</f>
        <v>0</v>
      </c>
      <c r="E15" s="116">
        <f>Hovedark!L16</f>
        <v>16719.23904</v>
      </c>
      <c r="F15" s="116">
        <f>Hovedark!Q16</f>
        <v>0</v>
      </c>
      <c r="G15" s="116">
        <f>Hovedark!V16</f>
        <v>0</v>
      </c>
      <c r="H15" s="117">
        <f t="shared" si="0"/>
        <v>16719.23904</v>
      </c>
      <c r="I15" s="117"/>
      <c r="J15" s="117">
        <f>H15-I15</f>
        <v>16719.23904</v>
      </c>
      <c r="K15" s="213"/>
      <c r="L15" s="217"/>
      <c r="M15" s="3"/>
    </row>
    <row r="16" spans="1:13" x14ac:dyDescent="0.2">
      <c r="A16" s="10"/>
      <c r="B16" s="192"/>
      <c r="C16" s="109"/>
      <c r="D16" s="15"/>
      <c r="E16" s="15"/>
      <c r="F16" s="15"/>
      <c r="G16" s="15"/>
      <c r="H16" s="16"/>
      <c r="I16" s="16"/>
      <c r="J16" s="16"/>
      <c r="K16" s="16"/>
      <c r="L16" s="217"/>
      <c r="M16" s="3"/>
    </row>
    <row r="17" spans="1:14" x14ac:dyDescent="0.2">
      <c r="A17" s="47" t="s">
        <v>14</v>
      </c>
      <c r="B17" s="185"/>
      <c r="C17" s="111"/>
      <c r="D17" s="29">
        <f>Hovedark!G19</f>
        <v>238225.73867092241</v>
      </c>
      <c r="E17" s="29">
        <f>Hovedark!L19</f>
        <v>288601.77411741222</v>
      </c>
      <c r="F17" s="29">
        <f>Hovedark!Q19</f>
        <v>36136</v>
      </c>
      <c r="G17" s="29">
        <f>Hovedark!V19</f>
        <v>151042</v>
      </c>
      <c r="H17" s="12">
        <f>SUM(H4:H16)</f>
        <v>714005.51278833451</v>
      </c>
      <c r="I17" s="12">
        <f t="shared" ref="I17:J17" si="1">SUM(I4:I16)</f>
        <v>6747.2155726833462</v>
      </c>
      <c r="J17" s="12">
        <f t="shared" si="1"/>
        <v>707258.29721565114</v>
      </c>
      <c r="K17" s="214">
        <v>642921.96177581383</v>
      </c>
      <c r="L17" s="217">
        <f>(J17-K17)/K17</f>
        <v>0.10006865415226135</v>
      </c>
      <c r="M17" s="3">
        <f>J17-K17</f>
        <v>64336.335439837305</v>
      </c>
    </row>
    <row r="18" spans="1:14" x14ac:dyDescent="0.2">
      <c r="D18" s="113">
        <f>D17/$H$17</f>
        <v>0.33364691785166084</v>
      </c>
      <c r="E18" s="113">
        <f>E17/$H$17</f>
        <v>0.40420104459749129</v>
      </c>
      <c r="F18" s="113">
        <f>F17/$H$17</f>
        <v>5.0610253496337423E-2</v>
      </c>
      <c r="G18" s="113">
        <f>G17/$H$17</f>
        <v>0.21154178405451066</v>
      </c>
      <c r="H18" s="113"/>
      <c r="I18" s="113"/>
      <c r="J18" s="113"/>
      <c r="K18" s="105"/>
    </row>
    <row r="19" spans="1:14" x14ac:dyDescent="0.2">
      <c r="A19" s="86" t="s">
        <v>261</v>
      </c>
      <c r="B19" s="112"/>
      <c r="C19" s="112"/>
      <c r="H19" s="12">
        <v>700032</v>
      </c>
      <c r="I19" s="12"/>
      <c r="J19" s="12">
        <f>H19</f>
        <v>700032</v>
      </c>
      <c r="K19" s="214">
        <v>640508</v>
      </c>
      <c r="M19" s="3">
        <f>J19-K19</f>
        <v>59524</v>
      </c>
    </row>
    <row r="20" spans="1:14" x14ac:dyDescent="0.2">
      <c r="B20" s="85"/>
      <c r="C20" s="85"/>
      <c r="K20" s="85"/>
    </row>
    <row r="21" spans="1:14" x14ac:dyDescent="0.2">
      <c r="A21" s="86" t="s">
        <v>262</v>
      </c>
      <c r="B21" s="85"/>
      <c r="C21" s="85"/>
      <c r="H21" s="12">
        <f>H19-H17</f>
        <v>-13973.512788334512</v>
      </c>
      <c r="I21" s="12"/>
      <c r="J21" s="12">
        <f>J19-J17</f>
        <v>-7226.2972156511387</v>
      </c>
      <c r="K21" s="214">
        <v>-2413.9617758138338</v>
      </c>
      <c r="N21" s="3"/>
    </row>
    <row r="22" spans="1:14" x14ac:dyDescent="0.2">
      <c r="B22" s="85"/>
      <c r="C22" s="85"/>
    </row>
    <row r="23" spans="1:14" x14ac:dyDescent="0.2">
      <c r="E23" s="129"/>
      <c r="F23" s="130"/>
      <c r="G23" s="275" t="s">
        <v>133</v>
      </c>
      <c r="H23" s="276"/>
      <c r="I23" s="265"/>
      <c r="J23" s="265"/>
    </row>
    <row r="24" spans="1:14" x14ac:dyDescent="0.2">
      <c r="A24" s="118" t="s">
        <v>263</v>
      </c>
      <c r="B24" s="119"/>
      <c r="C24" s="41"/>
      <c r="E24" s="131" t="s">
        <v>130</v>
      </c>
      <c r="F24" s="132"/>
      <c r="G24" s="120" t="s">
        <v>134</v>
      </c>
      <c r="H24" s="120" t="s">
        <v>135</v>
      </c>
      <c r="I24" s="265"/>
      <c r="J24" s="265"/>
    </row>
    <row r="25" spans="1:14" x14ac:dyDescent="0.2">
      <c r="A25" s="137" t="s">
        <v>62</v>
      </c>
      <c r="B25" s="138">
        <v>683</v>
      </c>
      <c r="C25" s="13"/>
      <c r="D25" s="14"/>
      <c r="E25" s="142" t="s">
        <v>71</v>
      </c>
      <c r="F25" s="143"/>
      <c r="G25" s="144">
        <v>0.5</v>
      </c>
      <c r="H25" s="121"/>
      <c r="I25" s="41"/>
      <c r="J25" s="41"/>
    </row>
    <row r="26" spans="1:14" x14ac:dyDescent="0.2">
      <c r="A26" s="137" t="s">
        <v>63</v>
      </c>
      <c r="B26" s="139">
        <v>0.5</v>
      </c>
      <c r="C26" s="182"/>
      <c r="D26" s="104"/>
      <c r="E26" s="142" t="s">
        <v>72</v>
      </c>
      <c r="F26" s="143"/>
      <c r="G26" s="144">
        <v>0.2</v>
      </c>
      <c r="H26" s="124"/>
      <c r="I26" s="266"/>
      <c r="J26" s="266"/>
    </row>
    <row r="27" spans="1:14" x14ac:dyDescent="0.2">
      <c r="A27" s="137" t="s">
        <v>64</v>
      </c>
      <c r="B27" s="138">
        <v>893249</v>
      </c>
      <c r="C27" s="13"/>
      <c r="D27" s="14"/>
      <c r="E27" s="94"/>
      <c r="F27" s="41"/>
      <c r="G27" s="121"/>
      <c r="H27" s="124"/>
      <c r="I27" s="266"/>
      <c r="J27" s="266"/>
    </row>
    <row r="28" spans="1:14" x14ac:dyDescent="0.2">
      <c r="A28" s="140" t="s">
        <v>132</v>
      </c>
      <c r="B28" s="141">
        <v>0.9</v>
      </c>
      <c r="C28" s="182"/>
      <c r="D28" s="104"/>
      <c r="E28" s="137" t="s">
        <v>111</v>
      </c>
      <c r="F28" s="143"/>
      <c r="G28" s="145">
        <v>135</v>
      </c>
      <c r="H28" s="242">
        <v>247.68</v>
      </c>
      <c r="I28" s="267"/>
      <c r="J28" s="267"/>
      <c r="K28" s="211">
        <f>G28/H28</f>
        <v>0.54505813953488369</v>
      </c>
    </row>
    <row r="29" spans="1:14" x14ac:dyDescent="0.2">
      <c r="D29" s="85"/>
      <c r="E29" s="133" t="s">
        <v>121</v>
      </c>
      <c r="F29" s="134"/>
      <c r="G29" s="122">
        <f>'FoF Resultat'!K17</f>
        <v>29430</v>
      </c>
      <c r="H29" s="126">
        <v>53994</v>
      </c>
      <c r="I29" s="268"/>
      <c r="J29" s="268"/>
    </row>
    <row r="30" spans="1:14" x14ac:dyDescent="0.2">
      <c r="D30" s="85"/>
      <c r="E30" s="94"/>
      <c r="F30" s="41"/>
      <c r="G30" s="121"/>
      <c r="H30" s="121"/>
      <c r="I30" s="41"/>
      <c r="J30" s="41"/>
    </row>
    <row r="31" spans="1:14" x14ac:dyDescent="0.2">
      <c r="A31" s="183" t="s">
        <v>264</v>
      </c>
      <c r="B31" s="184" t="s">
        <v>168</v>
      </c>
      <c r="C31" s="184" t="s">
        <v>169</v>
      </c>
      <c r="D31" s="105"/>
      <c r="E31" s="142" t="s">
        <v>137</v>
      </c>
      <c r="F31" s="143"/>
      <c r="G31" s="146">
        <v>11.9</v>
      </c>
      <c r="H31" s="127"/>
      <c r="I31" s="269"/>
      <c r="J31" s="269"/>
    </row>
    <row r="32" spans="1:14" x14ac:dyDescent="0.2">
      <c r="A32" s="177" t="s">
        <v>265</v>
      </c>
      <c r="B32" s="261">
        <v>0.46</v>
      </c>
      <c r="C32" s="261">
        <v>0.53</v>
      </c>
      <c r="D32" s="85"/>
      <c r="E32" s="133" t="s">
        <v>119</v>
      </c>
      <c r="F32" s="134"/>
      <c r="G32" s="122">
        <f>'FoF Resultat'!K34</f>
        <v>8470.8166666666675</v>
      </c>
      <c r="H32" s="126">
        <v>16394</v>
      </c>
      <c r="I32" s="268"/>
      <c r="J32" s="268"/>
      <c r="K32" s="211">
        <f>G32/H32</f>
        <v>0.51670224879020787</v>
      </c>
    </row>
    <row r="33" spans="1:11" x14ac:dyDescent="0.2">
      <c r="A33" s="137" t="s">
        <v>266</v>
      </c>
      <c r="B33" s="262">
        <v>0.26</v>
      </c>
      <c r="C33" s="263">
        <v>0.53</v>
      </c>
      <c r="E33" s="94"/>
      <c r="F33" s="41"/>
      <c r="G33" s="121"/>
      <c r="H33" s="121"/>
      <c r="I33" s="41"/>
      <c r="J33" s="41"/>
    </row>
    <row r="34" spans="1:11" x14ac:dyDescent="0.2">
      <c r="A34" s="140" t="s">
        <v>267</v>
      </c>
      <c r="B34" s="264">
        <v>0.45</v>
      </c>
      <c r="C34" s="264">
        <v>0.53</v>
      </c>
      <c r="E34" s="142" t="s">
        <v>112</v>
      </c>
      <c r="F34" s="143"/>
      <c r="G34" s="212">
        <v>0.05</v>
      </c>
      <c r="H34" s="243">
        <v>8.3519999999999997E-2</v>
      </c>
      <c r="I34" s="270"/>
      <c r="J34" s="270"/>
      <c r="K34" s="211">
        <f>G34/H34</f>
        <v>0.59865900383141768</v>
      </c>
    </row>
    <row r="35" spans="1:11" x14ac:dyDescent="0.2">
      <c r="E35" s="142" t="s">
        <v>113</v>
      </c>
      <c r="F35" s="143"/>
      <c r="G35" s="212">
        <v>0.6</v>
      </c>
      <c r="H35" s="125">
        <v>1.1519999999999999</v>
      </c>
      <c r="I35" s="271"/>
      <c r="J35" s="271"/>
      <c r="K35" s="211">
        <f>G35/H35</f>
        <v>0.52083333333333337</v>
      </c>
    </row>
    <row r="36" spans="1:11" x14ac:dyDescent="0.2">
      <c r="E36" s="135" t="s">
        <v>120</v>
      </c>
      <c r="F36" s="136"/>
      <c r="G36" s="123">
        <f>'FoF Resultat'!K51+'FoF Resultat'!K69</f>
        <v>20392.366666666669</v>
      </c>
      <c r="H36" s="128">
        <f>15373+30062</f>
        <v>45435</v>
      </c>
      <c r="I36" s="268"/>
      <c r="J36" s="268"/>
    </row>
  </sheetData>
  <mergeCells count="10">
    <mergeCell ref="K1:K3"/>
    <mergeCell ref="G23:H23"/>
    <mergeCell ref="G1:G3"/>
    <mergeCell ref="B1:B2"/>
    <mergeCell ref="H1:H3"/>
    <mergeCell ref="D1:D3"/>
    <mergeCell ref="E1:E3"/>
    <mergeCell ref="F1:F3"/>
    <mergeCell ref="I1:I3"/>
    <mergeCell ref="J1:J3"/>
  </mergeCells>
  <phoneticPr fontId="5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opLeftCell="D55" zoomScale="190" zoomScaleNormal="190" workbookViewId="0">
      <selection activeCell="K57" sqref="K57"/>
    </sheetView>
  </sheetViews>
  <sheetFormatPr baseColWidth="10" defaultColWidth="9.140625" defaultRowHeight="12.75" x14ac:dyDescent="0.2"/>
  <cols>
    <col min="1" max="1" width="36.85546875" style="24" customWidth="1"/>
    <col min="2" max="7" width="7.140625" style="24" bestFit="1" customWidth="1"/>
    <col min="8" max="9" width="7.140625" style="24" customWidth="1"/>
    <col min="10" max="10" width="7.85546875" style="24" customWidth="1"/>
    <col min="11" max="11" width="9.28515625" style="24" bestFit="1" customWidth="1"/>
    <col min="12" max="12" width="11.7109375" style="24" bestFit="1" customWidth="1"/>
    <col min="13" max="16384" width="9.140625" style="24"/>
  </cols>
  <sheetData>
    <row r="1" spans="1:11" ht="15.75" x14ac:dyDescent="0.25">
      <c r="A1" s="17" t="s">
        <v>44</v>
      </c>
      <c r="B1" s="89" t="s">
        <v>65</v>
      </c>
    </row>
    <row r="2" spans="1:11" x14ac:dyDescent="0.2">
      <c r="A2" s="18" t="s">
        <v>225</v>
      </c>
    </row>
    <row r="3" spans="1:11" x14ac:dyDescent="0.2">
      <c r="A3" s="19"/>
    </row>
    <row r="4" spans="1:11" ht="25.5" x14ac:dyDescent="0.2">
      <c r="A4" s="248" t="s">
        <v>45</v>
      </c>
      <c r="B4" s="196">
        <v>2011</v>
      </c>
      <c r="C4" s="196">
        <v>2012</v>
      </c>
      <c r="D4" s="196">
        <v>2013</v>
      </c>
      <c r="E4" s="196">
        <v>2014</v>
      </c>
      <c r="F4" s="196">
        <v>2015</v>
      </c>
      <c r="G4" s="196">
        <v>2016</v>
      </c>
      <c r="H4" s="196">
        <v>2017</v>
      </c>
      <c r="I4" s="196">
        <v>2018</v>
      </c>
      <c r="J4" s="245" t="s">
        <v>224</v>
      </c>
      <c r="K4" s="27" t="s">
        <v>47</v>
      </c>
    </row>
    <row r="5" spans="1:11" x14ac:dyDescent="0.2">
      <c r="A5" s="8" t="s">
        <v>220</v>
      </c>
      <c r="B5" s="164">
        <v>0</v>
      </c>
      <c r="C5" s="21">
        <v>0</v>
      </c>
      <c r="D5" s="21">
        <v>0</v>
      </c>
      <c r="E5" s="21">
        <v>0</v>
      </c>
      <c r="F5" s="164">
        <v>0</v>
      </c>
      <c r="G5" s="164">
        <v>0</v>
      </c>
      <c r="H5" s="164">
        <v>0</v>
      </c>
      <c r="I5" s="164">
        <v>0</v>
      </c>
      <c r="J5" s="15">
        <f>+AVERAGE(C5:E5)</f>
        <v>0</v>
      </c>
      <c r="K5" s="7">
        <f>J5*$B$18</f>
        <v>0</v>
      </c>
    </row>
    <row r="6" spans="1:11" x14ac:dyDescent="0.2">
      <c r="A6" s="8"/>
      <c r="B6" s="164"/>
      <c r="C6" s="21"/>
      <c r="D6" s="21"/>
      <c r="E6" s="21"/>
      <c r="F6" s="164"/>
      <c r="G6" s="164"/>
      <c r="H6" s="164"/>
      <c r="I6" s="164"/>
      <c r="J6" s="15"/>
      <c r="K6" s="7"/>
    </row>
    <row r="7" spans="1:11" x14ac:dyDescent="0.2">
      <c r="A7" s="8" t="s">
        <v>3</v>
      </c>
      <c r="B7" s="163">
        <v>20</v>
      </c>
      <c r="C7" s="149">
        <v>29</v>
      </c>
      <c r="D7" s="149">
        <v>22</v>
      </c>
      <c r="E7" s="149">
        <f>16+6</f>
        <v>22</v>
      </c>
      <c r="F7" s="163">
        <v>24</v>
      </c>
      <c r="G7" s="163">
        <v>26</v>
      </c>
      <c r="H7" s="163">
        <v>26</v>
      </c>
      <c r="I7" s="163">
        <v>28</v>
      </c>
      <c r="J7" s="15">
        <f>+AVERAGE(C7:E7)</f>
        <v>24.333333333333332</v>
      </c>
      <c r="K7" s="7">
        <f>J7*$B$18</f>
        <v>3285</v>
      </c>
    </row>
    <row r="8" spans="1:11" x14ac:dyDescent="0.2">
      <c r="A8" s="8"/>
      <c r="B8" s="163"/>
      <c r="C8" s="149"/>
      <c r="D8" s="149"/>
      <c r="E8" s="149"/>
      <c r="F8" s="163"/>
      <c r="G8" s="163"/>
      <c r="H8" s="163"/>
      <c r="I8" s="163"/>
      <c r="J8" s="15"/>
      <c r="K8" s="7"/>
    </row>
    <row r="9" spans="1:11" x14ac:dyDescent="0.2">
      <c r="A9" s="8" t="s">
        <v>131</v>
      </c>
      <c r="B9" s="164">
        <v>19</v>
      </c>
      <c r="C9" s="21">
        <v>30</v>
      </c>
      <c r="D9" s="21">
        <v>33</v>
      </c>
      <c r="E9" s="21">
        <f>21+19</f>
        <v>40</v>
      </c>
      <c r="F9" s="164">
        <v>30</v>
      </c>
      <c r="G9" s="164">
        <v>30</v>
      </c>
      <c r="H9" s="164">
        <v>30</v>
      </c>
      <c r="I9" s="164">
        <v>30</v>
      </c>
      <c r="J9" s="15">
        <f>+AVERAGE(C9:E9)</f>
        <v>34.333333333333336</v>
      </c>
      <c r="K9" s="7">
        <f>J9*$B$18</f>
        <v>4635</v>
      </c>
    </row>
    <row r="10" spans="1:11" x14ac:dyDescent="0.2">
      <c r="A10" s="8"/>
      <c r="B10" s="163"/>
      <c r="C10" s="149"/>
      <c r="D10" s="149"/>
      <c r="E10" s="149"/>
      <c r="F10" s="163"/>
      <c r="G10" s="163"/>
      <c r="H10" s="163"/>
      <c r="I10" s="163"/>
      <c r="J10" s="15"/>
      <c r="K10" s="7"/>
    </row>
    <row r="11" spans="1:11" x14ac:dyDescent="0.2">
      <c r="A11" s="8" t="s">
        <v>145</v>
      </c>
      <c r="B11" s="164">
        <v>135</v>
      </c>
      <c r="C11" s="21">
        <v>168</v>
      </c>
      <c r="D11" s="21">
        <v>152</v>
      </c>
      <c r="E11" s="21">
        <f>100+53</f>
        <v>153</v>
      </c>
      <c r="F11" s="164">
        <v>140</v>
      </c>
      <c r="G11" s="164">
        <v>140</v>
      </c>
      <c r="H11" s="164">
        <v>140</v>
      </c>
      <c r="I11" s="164">
        <v>140</v>
      </c>
      <c r="J11" s="15">
        <f>+AVERAGE(C11:E11)</f>
        <v>157.66666666666666</v>
      </c>
      <c r="K11" s="7">
        <f>J11*$B$18</f>
        <v>21285</v>
      </c>
    </row>
    <row r="12" spans="1:11" x14ac:dyDescent="0.2">
      <c r="A12" s="8"/>
      <c r="B12" s="164"/>
      <c r="C12" s="21"/>
      <c r="D12" s="21"/>
      <c r="E12" s="21"/>
      <c r="F12" s="164"/>
      <c r="G12" s="164"/>
      <c r="H12" s="164"/>
      <c r="I12" s="164"/>
      <c r="J12" s="15"/>
      <c r="K12" s="7"/>
    </row>
    <row r="13" spans="1:11" x14ac:dyDescent="0.2">
      <c r="A13" s="8" t="s">
        <v>254</v>
      </c>
      <c r="B13" s="164"/>
      <c r="C13" s="21">
        <v>4</v>
      </c>
      <c r="D13" s="21">
        <v>0</v>
      </c>
      <c r="E13" s="21">
        <v>1</v>
      </c>
      <c r="F13" s="164"/>
      <c r="G13" s="164"/>
      <c r="H13" s="164"/>
      <c r="I13" s="164"/>
      <c r="J13" s="15">
        <f>+AVERAGE(C13:E13)</f>
        <v>1.6666666666666667</v>
      </c>
      <c r="K13" s="7">
        <f>J13*$B$18</f>
        <v>225</v>
      </c>
    </row>
    <row r="14" spans="1:11" x14ac:dyDescent="0.2">
      <c r="A14" s="8"/>
      <c r="B14" s="164"/>
      <c r="C14" s="21"/>
      <c r="D14" s="21"/>
      <c r="E14" s="21"/>
      <c r="F14" s="164"/>
      <c r="G14" s="164"/>
      <c r="H14" s="164"/>
      <c r="I14" s="164"/>
      <c r="J14" s="15"/>
      <c r="K14" s="7"/>
    </row>
    <row r="15" spans="1:11" x14ac:dyDescent="0.2">
      <c r="A15" s="8" t="s">
        <v>255</v>
      </c>
      <c r="B15" s="164"/>
      <c r="C15" s="21">
        <v>0</v>
      </c>
      <c r="D15" s="21">
        <v>0</v>
      </c>
      <c r="E15" s="21">
        <v>0</v>
      </c>
      <c r="F15" s="164"/>
      <c r="G15" s="164"/>
      <c r="H15" s="164"/>
      <c r="I15" s="164"/>
      <c r="J15" s="15">
        <f>+AVERAGE(C15:E15)</f>
        <v>0</v>
      </c>
      <c r="K15" s="7">
        <f>J15*$B$18</f>
        <v>0</v>
      </c>
    </row>
    <row r="16" spans="1:11" x14ac:dyDescent="0.2">
      <c r="A16" s="8"/>
      <c r="B16" s="163"/>
      <c r="C16" s="149"/>
      <c r="D16" s="149"/>
      <c r="E16" s="149"/>
      <c r="F16" s="163"/>
      <c r="G16" s="163"/>
      <c r="H16" s="163"/>
      <c r="I16" s="163"/>
      <c r="J16" s="15"/>
      <c r="K16" s="7"/>
    </row>
    <row r="17" spans="1:11" x14ac:dyDescent="0.2">
      <c r="A17" s="47" t="s">
        <v>4</v>
      </c>
      <c r="B17" s="201">
        <f t="shared" ref="B17:I17" si="0">SUM(B5:B16)</f>
        <v>174</v>
      </c>
      <c r="C17" s="201">
        <f t="shared" si="0"/>
        <v>231</v>
      </c>
      <c r="D17" s="201">
        <f t="shared" si="0"/>
        <v>207</v>
      </c>
      <c r="E17" s="201">
        <f t="shared" si="0"/>
        <v>216</v>
      </c>
      <c r="F17" s="201">
        <f t="shared" si="0"/>
        <v>194</v>
      </c>
      <c r="G17" s="201">
        <f t="shared" si="0"/>
        <v>196</v>
      </c>
      <c r="H17" s="201">
        <f t="shared" si="0"/>
        <v>196</v>
      </c>
      <c r="I17" s="201">
        <f t="shared" si="0"/>
        <v>198</v>
      </c>
      <c r="J17" s="202">
        <f>+AVERAGE(C17:E17)</f>
        <v>218</v>
      </c>
      <c r="K17" s="202">
        <f>J17*$B$18</f>
        <v>29430</v>
      </c>
    </row>
    <row r="18" spans="1:11" x14ac:dyDescent="0.2">
      <c r="A18" s="60" t="s">
        <v>111</v>
      </c>
      <c r="B18" s="60">
        <f>Forside!G28</f>
        <v>135</v>
      </c>
    </row>
    <row r="19" spans="1:11" x14ac:dyDescent="0.2">
      <c r="A19" s="24" t="s">
        <v>207</v>
      </c>
    </row>
    <row r="21" spans="1:11" ht="25.5" customHeight="1" x14ac:dyDescent="0.2">
      <c r="A21" s="209" t="s">
        <v>48</v>
      </c>
      <c r="B21" s="244">
        <v>2011</v>
      </c>
      <c r="C21" s="244">
        <v>2012</v>
      </c>
      <c r="D21" s="244">
        <v>2013</v>
      </c>
      <c r="E21" s="244">
        <v>2014</v>
      </c>
      <c r="F21" s="244">
        <v>2015</v>
      </c>
      <c r="G21" s="244">
        <v>2016</v>
      </c>
      <c r="H21" s="196">
        <v>2017</v>
      </c>
      <c r="I21" s="196">
        <v>2018</v>
      </c>
      <c r="J21" s="253" t="s">
        <v>49</v>
      </c>
      <c r="K21" s="255" t="s">
        <v>47</v>
      </c>
    </row>
    <row r="22" spans="1:11" x14ac:dyDescent="0.2">
      <c r="A22" s="197" t="s">
        <v>5</v>
      </c>
      <c r="B22" s="198">
        <v>1.1000000000000001</v>
      </c>
      <c r="C22" s="199">
        <v>0.7</v>
      </c>
      <c r="D22" s="199">
        <v>1.5</v>
      </c>
      <c r="E22" s="199">
        <v>4.9000000000000004</v>
      </c>
      <c r="F22" s="198">
        <v>0</v>
      </c>
      <c r="G22" s="198">
        <v>0</v>
      </c>
      <c r="H22" s="198">
        <v>0</v>
      </c>
      <c r="I22" s="198">
        <v>0</v>
      </c>
      <c r="J22" s="15">
        <f>+AVERAGE(C22:E22)</f>
        <v>2.3666666666666667</v>
      </c>
      <c r="K22" s="15">
        <v>0</v>
      </c>
    </row>
    <row r="23" spans="1:11" x14ac:dyDescent="0.2">
      <c r="A23" s="197"/>
      <c r="B23" s="198"/>
      <c r="C23" s="199"/>
      <c r="D23" s="199"/>
      <c r="E23" s="199"/>
      <c r="F23" s="198"/>
      <c r="G23" s="198"/>
      <c r="H23" s="198"/>
      <c r="I23" s="198"/>
      <c r="J23" s="15"/>
      <c r="K23" s="15"/>
    </row>
    <row r="24" spans="1:11" x14ac:dyDescent="0.2">
      <c r="A24" s="23" t="s">
        <v>3</v>
      </c>
      <c r="B24" s="165">
        <v>177.9</v>
      </c>
      <c r="C24" s="154">
        <v>164.2</v>
      </c>
      <c r="D24" s="154">
        <v>160.69999999999999</v>
      </c>
      <c r="E24" s="154">
        <v>117.9</v>
      </c>
      <c r="F24" s="165">
        <v>182</v>
      </c>
      <c r="G24" s="165">
        <v>183</v>
      </c>
      <c r="H24" s="165">
        <v>185</v>
      </c>
      <c r="I24" s="165">
        <v>187</v>
      </c>
      <c r="J24" s="15">
        <f>+AVERAGE(C24:E24)</f>
        <v>147.6</v>
      </c>
      <c r="K24" s="15">
        <f>(J24*$B$35)</f>
        <v>1756.44</v>
      </c>
    </row>
    <row r="25" spans="1:11" x14ac:dyDescent="0.2">
      <c r="A25" s="23"/>
      <c r="B25" s="165"/>
      <c r="C25" s="154"/>
      <c r="D25" s="154"/>
      <c r="E25" s="154"/>
      <c r="F25" s="165"/>
      <c r="G25" s="165"/>
      <c r="H25" s="165"/>
      <c r="I25" s="165"/>
      <c r="J25" s="15"/>
      <c r="K25" s="15"/>
    </row>
    <row r="26" spans="1:11" x14ac:dyDescent="0.2">
      <c r="A26" s="23" t="s">
        <v>131</v>
      </c>
      <c r="B26" s="165">
        <v>192.3</v>
      </c>
      <c r="C26" s="154">
        <v>179.8</v>
      </c>
      <c r="D26" s="154">
        <v>187.3</v>
      </c>
      <c r="E26" s="154">
        <v>197.5</v>
      </c>
      <c r="F26" s="165">
        <v>190</v>
      </c>
      <c r="G26" s="165">
        <v>190</v>
      </c>
      <c r="H26" s="165">
        <v>195</v>
      </c>
      <c r="I26" s="165">
        <v>195</v>
      </c>
      <c r="J26" s="15">
        <f>+AVERAGE(C26:E26)</f>
        <v>188.20000000000002</v>
      </c>
      <c r="K26" s="15">
        <f>(J26*$B$35)</f>
        <v>2239.5800000000004</v>
      </c>
    </row>
    <row r="27" spans="1:11" x14ac:dyDescent="0.2">
      <c r="A27" s="23"/>
      <c r="B27" s="165"/>
      <c r="C27" s="154"/>
      <c r="D27" s="154"/>
      <c r="E27" s="154"/>
      <c r="F27" s="165"/>
      <c r="G27" s="165"/>
      <c r="H27" s="165"/>
      <c r="I27" s="165"/>
      <c r="J27" s="15"/>
      <c r="K27" s="15"/>
    </row>
    <row r="28" spans="1:11" x14ac:dyDescent="0.2">
      <c r="A28" s="23" t="s">
        <v>145</v>
      </c>
      <c r="B28" s="165">
        <v>308.2</v>
      </c>
      <c r="C28" s="154">
        <v>334.8</v>
      </c>
      <c r="D28" s="154">
        <v>315.10000000000002</v>
      </c>
      <c r="E28" s="154">
        <v>345.3</v>
      </c>
      <c r="F28" s="165">
        <v>341</v>
      </c>
      <c r="G28" s="165">
        <v>343</v>
      </c>
      <c r="H28" s="165">
        <v>343</v>
      </c>
      <c r="I28" s="165">
        <v>343</v>
      </c>
      <c r="J28" s="15">
        <f>+AVERAGE(C28:E28)</f>
        <v>331.73333333333335</v>
      </c>
      <c r="K28" s="15">
        <f>(J28*$B$35)</f>
        <v>3947.626666666667</v>
      </c>
    </row>
    <row r="29" spans="1:11" x14ac:dyDescent="0.2">
      <c r="A29" s="23"/>
      <c r="B29" s="165"/>
      <c r="C29" s="154"/>
      <c r="D29" s="154"/>
      <c r="E29" s="154"/>
      <c r="F29" s="165"/>
      <c r="G29" s="165"/>
      <c r="H29" s="165"/>
      <c r="I29" s="165"/>
      <c r="J29" s="15"/>
      <c r="K29" s="15"/>
    </row>
    <row r="30" spans="1:11" x14ac:dyDescent="0.2">
      <c r="A30" s="8" t="s">
        <v>254</v>
      </c>
      <c r="B30" s="165">
        <v>30.6</v>
      </c>
      <c r="C30" s="154">
        <v>21.1</v>
      </c>
      <c r="D30" s="154">
        <v>21.4</v>
      </c>
      <c r="E30" s="154">
        <v>7.9</v>
      </c>
      <c r="F30" s="165"/>
      <c r="G30" s="165"/>
      <c r="H30" s="165"/>
      <c r="I30" s="165"/>
      <c r="J30" s="15">
        <f>+AVERAGE(C30:E30)</f>
        <v>16.8</v>
      </c>
      <c r="K30" s="15">
        <f>(J30*23.04)</f>
        <v>387.072</v>
      </c>
    </row>
    <row r="31" spans="1:11" x14ac:dyDescent="0.2">
      <c r="A31" s="8"/>
      <c r="B31" s="165"/>
      <c r="C31" s="154"/>
      <c r="D31" s="154"/>
      <c r="E31" s="154"/>
      <c r="F31" s="165"/>
      <c r="G31" s="165"/>
      <c r="H31" s="165"/>
      <c r="I31" s="165"/>
      <c r="J31" s="15"/>
      <c r="K31" s="15"/>
    </row>
    <row r="32" spans="1:11" x14ac:dyDescent="0.2">
      <c r="A32" s="8" t="s">
        <v>255</v>
      </c>
      <c r="B32" s="165">
        <v>11.9</v>
      </c>
      <c r="C32" s="154">
        <v>11.8</v>
      </c>
      <c r="D32" s="154">
        <v>15.1</v>
      </c>
      <c r="E32" s="154">
        <v>10.8</v>
      </c>
      <c r="F32" s="165"/>
      <c r="G32" s="165"/>
      <c r="H32" s="165"/>
      <c r="I32" s="165"/>
      <c r="J32" s="15">
        <f>+AVERAGE(C32:E32)</f>
        <v>12.566666666666668</v>
      </c>
      <c r="K32" s="15">
        <f>(J32*23.04)</f>
        <v>289.536</v>
      </c>
    </row>
    <row r="33" spans="1:11" x14ac:dyDescent="0.2">
      <c r="A33" s="23"/>
      <c r="B33" s="165"/>
      <c r="C33" s="154"/>
      <c r="D33" s="154"/>
      <c r="E33" s="154"/>
      <c r="F33" s="165"/>
      <c r="G33" s="165"/>
      <c r="H33" s="165"/>
      <c r="I33" s="165"/>
      <c r="J33" s="15"/>
      <c r="K33" s="15"/>
    </row>
    <row r="34" spans="1:11" x14ac:dyDescent="0.2">
      <c r="A34" s="218" t="s">
        <v>4</v>
      </c>
      <c r="B34" s="200">
        <f t="shared" ref="B34:I34" si="1">SUM(B22:B33)</f>
        <v>722</v>
      </c>
      <c r="C34" s="200">
        <f t="shared" si="1"/>
        <v>712.4</v>
      </c>
      <c r="D34" s="200">
        <f t="shared" si="1"/>
        <v>701.1</v>
      </c>
      <c r="E34" s="200">
        <f t="shared" si="1"/>
        <v>684.3</v>
      </c>
      <c r="F34" s="200">
        <f t="shared" si="1"/>
        <v>713</v>
      </c>
      <c r="G34" s="200">
        <f t="shared" si="1"/>
        <v>716</v>
      </c>
      <c r="H34" s="200">
        <f t="shared" si="1"/>
        <v>723</v>
      </c>
      <c r="I34" s="200">
        <f t="shared" si="1"/>
        <v>725</v>
      </c>
      <c r="J34" s="202">
        <f>+AVERAGE(B34:D34)</f>
        <v>711.83333333333337</v>
      </c>
      <c r="K34" s="202">
        <f>(J34*$B$35)</f>
        <v>8470.8166666666675</v>
      </c>
    </row>
    <row r="35" spans="1:11" x14ac:dyDescent="0.2">
      <c r="A35" s="61" t="s">
        <v>136</v>
      </c>
      <c r="B35" s="61">
        <f>Forside!G31</f>
        <v>11.9</v>
      </c>
    </row>
    <row r="38" spans="1:11" ht="25.5" x14ac:dyDescent="0.2">
      <c r="A38" s="209" t="s">
        <v>222</v>
      </c>
      <c r="B38" s="246">
        <v>2011</v>
      </c>
      <c r="C38" s="246">
        <v>2012</v>
      </c>
      <c r="D38" s="246">
        <v>2013</v>
      </c>
      <c r="E38" s="246">
        <v>2014</v>
      </c>
      <c r="F38" s="246">
        <v>2015</v>
      </c>
      <c r="G38" s="246">
        <v>2016</v>
      </c>
      <c r="H38" s="196">
        <v>2017</v>
      </c>
      <c r="I38" s="196">
        <v>2018</v>
      </c>
      <c r="J38" s="254" t="s">
        <v>49</v>
      </c>
      <c r="K38" s="255" t="s">
        <v>47</v>
      </c>
    </row>
    <row r="39" spans="1:11" x14ac:dyDescent="0.2">
      <c r="A39" s="197" t="s">
        <v>73</v>
      </c>
      <c r="B39" s="203">
        <v>3014</v>
      </c>
      <c r="C39" s="28">
        <v>2000</v>
      </c>
      <c r="D39" s="28">
        <v>6000</v>
      </c>
      <c r="E39" s="28">
        <v>4000</v>
      </c>
      <c r="F39" s="203">
        <v>0</v>
      </c>
      <c r="G39" s="203">
        <v>0</v>
      </c>
      <c r="H39" s="203">
        <v>0</v>
      </c>
      <c r="I39" s="203">
        <v>0</v>
      </c>
      <c r="J39" s="15">
        <f>+AVERAGE(C39:E39)</f>
        <v>4000</v>
      </c>
      <c r="K39" s="15">
        <v>0</v>
      </c>
    </row>
    <row r="40" spans="1:11" x14ac:dyDescent="0.2">
      <c r="A40" s="197"/>
      <c r="B40" s="203"/>
      <c r="C40" s="28"/>
      <c r="D40" s="28"/>
      <c r="E40" s="28"/>
      <c r="F40" s="203"/>
      <c r="G40" s="203"/>
      <c r="H40" s="203"/>
      <c r="I40" s="203"/>
      <c r="J40" s="227"/>
      <c r="K40" s="15"/>
    </row>
    <row r="41" spans="1:11" x14ac:dyDescent="0.2">
      <c r="A41" s="23" t="s">
        <v>3</v>
      </c>
      <c r="B41" s="204">
        <v>64502</v>
      </c>
      <c r="C41" s="9">
        <v>48000</v>
      </c>
      <c r="D41" s="9">
        <v>74935</v>
      </c>
      <c r="E41" s="9">
        <v>50837</v>
      </c>
      <c r="F41" s="204">
        <v>76000</v>
      </c>
      <c r="G41" s="204">
        <v>78000</v>
      </c>
      <c r="H41" s="204">
        <v>80000</v>
      </c>
      <c r="I41" s="204">
        <v>82000</v>
      </c>
      <c r="J41" s="15">
        <f>+AVERAGE(C41:E41)</f>
        <v>57924</v>
      </c>
      <c r="K41" s="15">
        <f>(J41*$B$53)</f>
        <v>2896.2000000000003</v>
      </c>
    </row>
    <row r="42" spans="1:11" x14ac:dyDescent="0.2">
      <c r="A42" s="23"/>
      <c r="B42" s="204"/>
      <c r="C42" s="9"/>
      <c r="D42" s="9"/>
      <c r="E42" s="9"/>
      <c r="F42" s="204"/>
      <c r="G42" s="204"/>
      <c r="H42" s="204"/>
      <c r="I42" s="204"/>
      <c r="J42" s="15"/>
      <c r="K42" s="15"/>
    </row>
    <row r="43" spans="1:11" x14ac:dyDescent="0.2">
      <c r="A43" s="23" t="s">
        <v>131</v>
      </c>
      <c r="B43" s="204">
        <v>14176</v>
      </c>
      <c r="C43" s="9">
        <v>23440</v>
      </c>
      <c r="D43" s="9">
        <v>20371</v>
      </c>
      <c r="E43" s="9">
        <v>33621</v>
      </c>
      <c r="F43" s="204">
        <v>19000</v>
      </c>
      <c r="G43" s="204">
        <v>20000</v>
      </c>
      <c r="H43" s="204">
        <v>21000</v>
      </c>
      <c r="I43" s="204">
        <v>21000</v>
      </c>
      <c r="J43" s="15">
        <f>+AVERAGE(C43:E43)</f>
        <v>25810.666666666668</v>
      </c>
      <c r="K43" s="15">
        <f>(J43*$B$53)</f>
        <v>1290.5333333333335</v>
      </c>
    </row>
    <row r="44" spans="1:11" x14ac:dyDescent="0.2">
      <c r="A44" s="23"/>
      <c r="B44" s="204"/>
      <c r="C44" s="9"/>
      <c r="D44" s="9"/>
      <c r="E44" s="9"/>
      <c r="F44" s="204"/>
      <c r="G44" s="204"/>
      <c r="H44" s="204"/>
      <c r="I44" s="204"/>
      <c r="J44" s="15"/>
      <c r="K44" s="15"/>
    </row>
    <row r="45" spans="1:11" x14ac:dyDescent="0.2">
      <c r="A45" s="23" t="s">
        <v>145</v>
      </c>
      <c r="B45" s="204">
        <v>71022</v>
      </c>
      <c r="C45" s="9">
        <v>52771</v>
      </c>
      <c r="D45" s="9">
        <v>75249</v>
      </c>
      <c r="E45" s="9">
        <v>86363</v>
      </c>
      <c r="F45" s="204">
        <v>78100</v>
      </c>
      <c r="G45" s="204">
        <v>78100</v>
      </c>
      <c r="H45" s="204">
        <v>78100</v>
      </c>
      <c r="I45" s="204">
        <v>78100</v>
      </c>
      <c r="J45" s="15">
        <f>+AVERAGE(C45:E45)</f>
        <v>71461</v>
      </c>
      <c r="K45" s="15">
        <f>(J45*$B$53)</f>
        <v>3573.05</v>
      </c>
    </row>
    <row r="46" spans="1:11" x14ac:dyDescent="0.2">
      <c r="A46" s="23"/>
      <c r="B46" s="204"/>
      <c r="C46" s="9"/>
      <c r="D46" s="9"/>
      <c r="E46" s="9"/>
      <c r="F46" s="204"/>
      <c r="G46" s="204"/>
      <c r="H46" s="204"/>
      <c r="I46" s="204"/>
      <c r="J46" s="15"/>
      <c r="K46" s="15"/>
    </row>
    <row r="47" spans="1:11" x14ac:dyDescent="0.2">
      <c r="A47" s="8" t="s">
        <v>254</v>
      </c>
      <c r="B47" s="204">
        <v>11296</v>
      </c>
      <c r="C47" s="9">
        <v>8478</v>
      </c>
      <c r="D47" s="9">
        <v>6549</v>
      </c>
      <c r="E47" s="9">
        <v>5195</v>
      </c>
      <c r="F47" s="204"/>
      <c r="G47" s="204"/>
      <c r="H47" s="204"/>
      <c r="I47" s="204"/>
      <c r="J47" s="15">
        <f>+AVERAGE(C47:E47)</f>
        <v>6740.666666666667</v>
      </c>
      <c r="K47" s="15">
        <f>(J47*0.08352)</f>
        <v>562.98048000000006</v>
      </c>
    </row>
    <row r="48" spans="1:11" x14ac:dyDescent="0.2">
      <c r="A48" s="8"/>
      <c r="B48" s="204"/>
      <c r="C48" s="9"/>
      <c r="D48" s="9"/>
      <c r="E48" s="9"/>
      <c r="F48" s="204"/>
      <c r="G48" s="204"/>
      <c r="H48" s="204"/>
      <c r="I48" s="204"/>
      <c r="J48" s="15"/>
      <c r="K48" s="15"/>
    </row>
    <row r="49" spans="1:11" x14ac:dyDescent="0.2">
      <c r="A49" s="8" t="s">
        <v>255</v>
      </c>
      <c r="B49" s="204">
        <v>5238</v>
      </c>
      <c r="C49" s="9">
        <v>15489</v>
      </c>
      <c r="D49" s="9">
        <v>15868</v>
      </c>
      <c r="E49" s="9">
        <v>13624</v>
      </c>
      <c r="F49" s="204"/>
      <c r="G49" s="204"/>
      <c r="H49" s="204"/>
      <c r="I49" s="204"/>
      <c r="J49" s="15">
        <f>+AVERAGE(C49:E49)</f>
        <v>14993.666666666666</v>
      </c>
      <c r="K49" s="15">
        <f>(J49*0.08352)</f>
        <v>1252.2710399999999</v>
      </c>
    </row>
    <row r="50" spans="1:11" x14ac:dyDescent="0.2">
      <c r="A50" s="23"/>
      <c r="B50" s="204"/>
      <c r="C50" s="9"/>
      <c r="D50" s="9"/>
      <c r="E50" s="9"/>
      <c r="F50" s="204"/>
      <c r="G50" s="204"/>
      <c r="H50" s="204"/>
      <c r="I50" s="204"/>
      <c r="J50" s="227"/>
      <c r="K50" s="15"/>
    </row>
    <row r="51" spans="1:11" x14ac:dyDescent="0.2">
      <c r="A51" s="218" t="s">
        <v>4</v>
      </c>
      <c r="B51" s="34">
        <f t="shared" ref="B51:I51" si="2">SUM(B39:B50)</f>
        <v>169248</v>
      </c>
      <c r="C51" s="34">
        <f t="shared" si="2"/>
        <v>150178</v>
      </c>
      <c r="D51" s="34">
        <f t="shared" si="2"/>
        <v>198972</v>
      </c>
      <c r="E51" s="34">
        <f t="shared" si="2"/>
        <v>193640</v>
      </c>
      <c r="F51" s="34">
        <f t="shared" si="2"/>
        <v>173100</v>
      </c>
      <c r="G51" s="34">
        <f t="shared" si="2"/>
        <v>176100</v>
      </c>
      <c r="H51" s="34">
        <f t="shared" si="2"/>
        <v>179100</v>
      </c>
      <c r="I51" s="34">
        <f t="shared" si="2"/>
        <v>181100</v>
      </c>
      <c r="J51" s="202">
        <f>+AVERAGE(B51:D51)</f>
        <v>172799.33333333334</v>
      </c>
      <c r="K51" s="34">
        <f>(J51*$B$53)</f>
        <v>8639.9666666666672</v>
      </c>
    </row>
    <row r="52" spans="1:11" x14ac:dyDescent="0.2">
      <c r="A52" s="24" t="s">
        <v>209</v>
      </c>
    </row>
    <row r="53" spans="1:11" x14ac:dyDescent="0.2">
      <c r="A53" s="61" t="s">
        <v>112</v>
      </c>
      <c r="B53" s="62">
        <f>Forside!G34</f>
        <v>0.05</v>
      </c>
    </row>
    <row r="56" spans="1:11" ht="25.5" x14ac:dyDescent="0.2">
      <c r="A56" s="209" t="s">
        <v>223</v>
      </c>
      <c r="B56" s="246">
        <v>2011</v>
      </c>
      <c r="C56" s="246">
        <v>2012</v>
      </c>
      <c r="D56" s="246">
        <v>2013</v>
      </c>
      <c r="E56" s="246">
        <v>2014</v>
      </c>
      <c r="F56" s="246">
        <v>2015</v>
      </c>
      <c r="G56" s="246">
        <v>2016</v>
      </c>
      <c r="H56" s="196">
        <v>2017</v>
      </c>
      <c r="I56" s="196">
        <v>2018</v>
      </c>
      <c r="J56" s="254" t="s">
        <v>49</v>
      </c>
      <c r="K56" s="255" t="s">
        <v>47</v>
      </c>
    </row>
    <row r="57" spans="1:11" x14ac:dyDescent="0.2">
      <c r="A57" s="197" t="s">
        <v>73</v>
      </c>
      <c r="B57" s="203">
        <v>210</v>
      </c>
      <c r="C57" s="28">
        <v>0</v>
      </c>
      <c r="D57" s="28">
        <v>0</v>
      </c>
      <c r="E57" s="28">
        <v>19384</v>
      </c>
      <c r="F57" s="203">
        <v>0</v>
      </c>
      <c r="G57" s="203">
        <v>0</v>
      </c>
      <c r="H57" s="203">
        <v>0</v>
      </c>
      <c r="I57" s="203">
        <v>0</v>
      </c>
      <c r="J57" s="15">
        <f>+AVERAGE(C57:E57)</f>
        <v>6461.333333333333</v>
      </c>
      <c r="K57" s="15">
        <f>(J57*Forside!H35)</f>
        <v>7443.4559999999992</v>
      </c>
    </row>
    <row r="58" spans="1:11" x14ac:dyDescent="0.2">
      <c r="A58" s="197"/>
      <c r="B58" s="203"/>
      <c r="C58" s="28"/>
      <c r="D58" s="28"/>
      <c r="E58" s="28"/>
      <c r="F58" s="203"/>
      <c r="G58" s="203"/>
      <c r="H58" s="203"/>
      <c r="I58" s="203"/>
      <c r="J58" s="227"/>
      <c r="K58" s="15"/>
    </row>
    <row r="59" spans="1:11" x14ac:dyDescent="0.2">
      <c r="A59" s="23" t="s">
        <v>3</v>
      </c>
      <c r="B59" s="204">
        <v>6193</v>
      </c>
      <c r="C59" s="9">
        <v>6759</v>
      </c>
      <c r="D59" s="9">
        <v>4280</v>
      </c>
      <c r="E59" s="9">
        <v>4304</v>
      </c>
      <c r="F59" s="204">
        <v>11000</v>
      </c>
      <c r="G59" s="204">
        <v>13000</v>
      </c>
      <c r="H59" s="204">
        <v>15000</v>
      </c>
      <c r="I59" s="204">
        <v>15000</v>
      </c>
      <c r="J59" s="15">
        <f>+AVERAGE(C59:E59)</f>
        <v>5114.333333333333</v>
      </c>
      <c r="K59" s="15">
        <f>(J59*$B$71)</f>
        <v>3068.6</v>
      </c>
    </row>
    <row r="60" spans="1:11" x14ac:dyDescent="0.2">
      <c r="A60" s="23"/>
      <c r="B60" s="204"/>
      <c r="C60" s="9"/>
      <c r="D60" s="9"/>
      <c r="E60" s="9"/>
      <c r="F60" s="204"/>
      <c r="G60" s="204"/>
      <c r="H60" s="204"/>
      <c r="I60" s="204"/>
      <c r="J60" s="15"/>
      <c r="K60" s="15"/>
    </row>
    <row r="61" spans="1:11" x14ac:dyDescent="0.2">
      <c r="A61" s="23" t="s">
        <v>131</v>
      </c>
      <c r="B61" s="204">
        <v>785</v>
      </c>
      <c r="C61" s="9">
        <v>5879</v>
      </c>
      <c r="D61" s="9">
        <v>1604</v>
      </c>
      <c r="E61" s="9">
        <v>3607</v>
      </c>
      <c r="F61" s="204">
        <v>5000</v>
      </c>
      <c r="G61" s="204">
        <v>6000</v>
      </c>
      <c r="H61" s="204">
        <v>6000</v>
      </c>
      <c r="I61" s="204">
        <v>8000</v>
      </c>
      <c r="J61" s="15">
        <f>+AVERAGE(C61:E61)</f>
        <v>3696.6666666666665</v>
      </c>
      <c r="K61" s="15">
        <f>(J61*$B$71)</f>
        <v>2218</v>
      </c>
    </row>
    <row r="62" spans="1:11" x14ac:dyDescent="0.2">
      <c r="A62" s="23"/>
      <c r="B62" s="204"/>
      <c r="C62" s="9"/>
      <c r="D62" s="9"/>
      <c r="E62" s="9"/>
      <c r="F62" s="204"/>
      <c r="G62" s="204"/>
      <c r="H62" s="204"/>
      <c r="I62" s="204"/>
      <c r="J62" s="15"/>
      <c r="K62" s="15"/>
    </row>
    <row r="63" spans="1:11" x14ac:dyDescent="0.2">
      <c r="A63" s="23" t="s">
        <v>145</v>
      </c>
      <c r="B63" s="204">
        <v>13974</v>
      </c>
      <c r="C63" s="9">
        <v>3325</v>
      </c>
      <c r="D63" s="9">
        <v>11708</v>
      </c>
      <c r="E63" s="9">
        <v>13289</v>
      </c>
      <c r="F63" s="204">
        <v>13500</v>
      </c>
      <c r="G63" s="204">
        <v>14000</v>
      </c>
      <c r="H63" s="204">
        <v>14500</v>
      </c>
      <c r="I63" s="204">
        <v>14500</v>
      </c>
      <c r="J63" s="15">
        <f>+AVERAGE(C63:E63)</f>
        <v>9440.6666666666661</v>
      </c>
      <c r="K63" s="15">
        <f>(J63*$B$71)</f>
        <v>5664.4</v>
      </c>
    </row>
    <row r="64" spans="1:11" x14ac:dyDescent="0.2">
      <c r="A64" s="23"/>
      <c r="B64" s="204"/>
      <c r="C64" s="9"/>
      <c r="D64" s="9"/>
      <c r="E64" s="9"/>
      <c r="F64" s="204"/>
      <c r="G64" s="204"/>
      <c r="H64" s="204"/>
      <c r="I64" s="204"/>
      <c r="J64" s="15"/>
      <c r="K64" s="15"/>
    </row>
    <row r="65" spans="1:11" x14ac:dyDescent="0.2">
      <c r="A65" s="8" t="s">
        <v>254</v>
      </c>
      <c r="B65" s="204">
        <v>393</v>
      </c>
      <c r="C65" s="9">
        <v>897</v>
      </c>
      <c r="D65" s="9">
        <v>190</v>
      </c>
      <c r="E65" s="9">
        <v>334</v>
      </c>
      <c r="F65" s="204"/>
      <c r="G65" s="204"/>
      <c r="H65" s="204"/>
      <c r="I65" s="204"/>
      <c r="J65" s="15">
        <f>+AVERAGE(C65:E65)</f>
        <v>473.66666666666669</v>
      </c>
      <c r="K65" s="15">
        <f>(J65*1.152)</f>
        <v>545.66399999999999</v>
      </c>
    </row>
    <row r="66" spans="1:11" x14ac:dyDescent="0.2">
      <c r="A66" s="8"/>
      <c r="B66" s="204"/>
      <c r="C66" s="9"/>
      <c r="D66" s="9"/>
      <c r="E66" s="9"/>
      <c r="F66" s="204"/>
      <c r="G66" s="204"/>
      <c r="H66" s="204"/>
      <c r="I66" s="204"/>
      <c r="J66" s="15"/>
      <c r="K66" s="15"/>
    </row>
    <row r="67" spans="1:11" x14ac:dyDescent="0.2">
      <c r="A67" s="8" t="s">
        <v>255</v>
      </c>
      <c r="B67" s="204">
        <v>0</v>
      </c>
      <c r="C67" s="9">
        <v>877</v>
      </c>
      <c r="D67" s="9">
        <v>1688</v>
      </c>
      <c r="E67" s="9">
        <v>233</v>
      </c>
      <c r="F67" s="204"/>
      <c r="G67" s="204"/>
      <c r="H67" s="204"/>
      <c r="I67" s="204"/>
      <c r="J67" s="15">
        <f>+AVERAGE(C67:E67)</f>
        <v>932.66666666666663</v>
      </c>
      <c r="K67" s="15">
        <f>(J67*1.152)</f>
        <v>1074.4319999999998</v>
      </c>
    </row>
    <row r="68" spans="1:11" x14ac:dyDescent="0.2">
      <c r="A68" s="23"/>
      <c r="B68" s="204"/>
      <c r="C68" s="9"/>
      <c r="D68" s="9"/>
      <c r="E68" s="9"/>
      <c r="F68" s="204"/>
      <c r="G68" s="204"/>
      <c r="H68" s="204"/>
      <c r="I68" s="204"/>
      <c r="J68" s="227"/>
      <c r="K68" s="15"/>
    </row>
    <row r="69" spans="1:11" x14ac:dyDescent="0.2">
      <c r="A69" s="218" t="s">
        <v>4</v>
      </c>
      <c r="B69" s="34">
        <f t="shared" ref="B69:I69" si="3">SUM(B57:B68)</f>
        <v>21555</v>
      </c>
      <c r="C69" s="34">
        <f t="shared" si="3"/>
        <v>17737</v>
      </c>
      <c r="D69" s="34">
        <f t="shared" si="3"/>
        <v>19470</v>
      </c>
      <c r="E69" s="34">
        <f t="shared" si="3"/>
        <v>41151</v>
      </c>
      <c r="F69" s="34">
        <f t="shared" si="3"/>
        <v>29500</v>
      </c>
      <c r="G69" s="34">
        <f t="shared" si="3"/>
        <v>33000</v>
      </c>
      <c r="H69" s="34">
        <f t="shared" si="3"/>
        <v>35500</v>
      </c>
      <c r="I69" s="34">
        <f t="shared" si="3"/>
        <v>37500</v>
      </c>
      <c r="J69" s="202">
        <f>+AVERAGE(B69:D69)</f>
        <v>19587.333333333332</v>
      </c>
      <c r="K69" s="34">
        <f>(J69*$B$71)</f>
        <v>11752.4</v>
      </c>
    </row>
    <row r="70" spans="1:11" x14ac:dyDescent="0.2">
      <c r="A70" s="24" t="s">
        <v>209</v>
      </c>
    </row>
    <row r="71" spans="1:11" x14ac:dyDescent="0.2">
      <c r="A71" s="61" t="s">
        <v>113</v>
      </c>
      <c r="B71" s="62">
        <f>Forside!G35</f>
        <v>0.6</v>
      </c>
    </row>
  </sheetData>
  <hyperlinks>
    <hyperlink ref="B1" location="Hovedark!A1" display="Hovedark"/>
  </hyperlinks>
  <pageMargins left="0.7" right="0.7" top="0.75" bottom="0.75" header="0.3" footer="0.3"/>
  <pageSetup paperSize="9" scale="10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1"/>
  <sheetViews>
    <sheetView zoomScale="175" zoomScaleNormal="175" workbookViewId="0">
      <selection activeCell="C16" sqref="C16:C18"/>
    </sheetView>
  </sheetViews>
  <sheetFormatPr baseColWidth="10" defaultColWidth="9.140625" defaultRowHeight="12.75" x14ac:dyDescent="0.2"/>
  <cols>
    <col min="1" max="1" width="38.85546875" style="35" bestFit="1" customWidth="1"/>
    <col min="2" max="3" width="9.140625" style="35"/>
    <col min="4" max="4" width="9.42578125" style="35" customWidth="1"/>
    <col min="5" max="16384" width="9.140625" style="35"/>
  </cols>
  <sheetData>
    <row r="1" spans="1:6" x14ac:dyDescent="0.2">
      <c r="B1" s="91" t="s">
        <v>65</v>
      </c>
      <c r="C1" s="91"/>
      <c r="D1" s="91"/>
    </row>
    <row r="3" spans="1:6" ht="18.75" x14ac:dyDescent="0.3">
      <c r="A3" s="1" t="s">
        <v>115</v>
      </c>
      <c r="B3" s="277" t="s">
        <v>138</v>
      </c>
      <c r="C3" s="277" t="s">
        <v>249</v>
      </c>
      <c r="D3" s="277" t="s">
        <v>257</v>
      </c>
      <c r="E3" s="277" t="s">
        <v>208</v>
      </c>
      <c r="F3" s="277" t="s">
        <v>258</v>
      </c>
    </row>
    <row r="4" spans="1:6" ht="25.5" customHeight="1" x14ac:dyDescent="0.2">
      <c r="A4" s="45" t="s">
        <v>147</v>
      </c>
      <c r="B4" s="279"/>
      <c r="C4" s="279"/>
      <c r="D4" s="279"/>
      <c r="E4" s="279"/>
      <c r="F4" s="279"/>
    </row>
    <row r="5" spans="1:6" x14ac:dyDescent="0.2">
      <c r="A5" s="3" t="s">
        <v>0</v>
      </c>
      <c r="B5" s="24"/>
      <c r="C5" s="24"/>
      <c r="D5" s="24"/>
      <c r="E5" s="24"/>
    </row>
    <row r="6" spans="1:6" x14ac:dyDescent="0.2">
      <c r="A6" s="5" t="s">
        <v>46</v>
      </c>
    </row>
    <row r="7" spans="1:6" x14ac:dyDescent="0.2">
      <c r="A7" s="5" t="s">
        <v>2</v>
      </c>
      <c r="B7" s="7"/>
      <c r="C7" s="7"/>
      <c r="D7" s="7"/>
      <c r="E7" s="7"/>
      <c r="F7" s="32"/>
    </row>
    <row r="8" spans="1:6" x14ac:dyDescent="0.2">
      <c r="A8" s="10" t="s">
        <v>146</v>
      </c>
      <c r="B8" s="7"/>
      <c r="C8" s="7"/>
      <c r="D8" s="7"/>
      <c r="E8" s="9"/>
      <c r="F8" s="56">
        <f>SUM(B8:E8)</f>
        <v>0</v>
      </c>
    </row>
    <row r="9" spans="1:6" x14ac:dyDescent="0.2">
      <c r="A9" s="10"/>
      <c r="B9" s="7"/>
      <c r="C9" s="7"/>
      <c r="D9" s="7"/>
      <c r="E9" s="9"/>
      <c r="F9" s="260"/>
    </row>
    <row r="10" spans="1:6" x14ac:dyDescent="0.2">
      <c r="A10" s="8" t="s">
        <v>3</v>
      </c>
      <c r="B10" s="9">
        <f>8078*((1+Sheet1!B2)^Sheet1!B3)</f>
        <v>8239.56</v>
      </c>
      <c r="C10" s="9">
        <v>450</v>
      </c>
      <c r="D10" s="9"/>
      <c r="E10" s="9">
        <v>4578</v>
      </c>
      <c r="F10" s="56">
        <f>SUM(B10:E10)</f>
        <v>13267.56</v>
      </c>
    </row>
    <row r="11" spans="1:6" x14ac:dyDescent="0.2">
      <c r="A11" s="8"/>
      <c r="B11" s="9"/>
      <c r="C11" s="9"/>
      <c r="D11" s="9"/>
      <c r="E11" s="9"/>
      <c r="F11" s="260"/>
    </row>
    <row r="12" spans="1:6" x14ac:dyDescent="0.2">
      <c r="A12" s="23" t="s">
        <v>131</v>
      </c>
      <c r="B12" s="9"/>
      <c r="C12" s="9">
        <v>434</v>
      </c>
      <c r="D12" s="9"/>
      <c r="E12" s="9"/>
      <c r="F12" s="56">
        <f>SUM(B12:E12)</f>
        <v>434</v>
      </c>
    </row>
    <row r="13" spans="1:6" x14ac:dyDescent="0.2">
      <c r="A13" s="8"/>
      <c r="B13" s="9"/>
      <c r="C13" s="9"/>
      <c r="D13" s="9"/>
      <c r="E13" s="9"/>
      <c r="F13" s="260"/>
    </row>
    <row r="14" spans="1:6" x14ac:dyDescent="0.2">
      <c r="A14" s="23" t="s">
        <v>145</v>
      </c>
      <c r="B14" s="9">
        <f>938*((1+Sheet1!B2)^Sheet1!B3)</f>
        <v>956.76</v>
      </c>
      <c r="C14" s="9">
        <v>701</v>
      </c>
      <c r="D14" s="9"/>
      <c r="E14" s="9"/>
      <c r="F14" s="56">
        <f>SUM(B14:E14)</f>
        <v>1657.76</v>
      </c>
    </row>
    <row r="15" spans="1:6" x14ac:dyDescent="0.2">
      <c r="A15" s="8"/>
      <c r="B15" s="9"/>
      <c r="C15" s="9"/>
      <c r="D15" s="9"/>
      <c r="E15" s="9"/>
      <c r="F15" s="260"/>
    </row>
    <row r="16" spans="1:6" x14ac:dyDescent="0.2">
      <c r="A16" s="8" t="s">
        <v>254</v>
      </c>
      <c r="B16" s="9"/>
      <c r="C16" s="9">
        <v>101</v>
      </c>
      <c r="D16" s="9">
        <f>14395+4730</f>
        <v>19125</v>
      </c>
      <c r="E16" s="9"/>
      <c r="F16" s="56">
        <f>SUM(B16:E16)</f>
        <v>19226</v>
      </c>
    </row>
    <row r="17" spans="1:6" x14ac:dyDescent="0.2">
      <c r="A17" s="8"/>
      <c r="B17" s="9"/>
      <c r="C17" s="9"/>
      <c r="D17" s="9"/>
      <c r="E17" s="9"/>
      <c r="F17" s="260"/>
    </row>
    <row r="18" spans="1:6" x14ac:dyDescent="0.2">
      <c r="A18" s="8" t="s">
        <v>255</v>
      </c>
      <c r="B18" s="9"/>
      <c r="C18" s="9">
        <v>75</v>
      </c>
      <c r="D18" s="9">
        <v>2542</v>
      </c>
      <c r="E18" s="9"/>
      <c r="F18" s="56">
        <f>SUM(B18:E18)</f>
        <v>2617</v>
      </c>
    </row>
    <row r="19" spans="1:6" x14ac:dyDescent="0.2">
      <c r="A19" s="8"/>
      <c r="B19" s="9"/>
      <c r="C19" s="9"/>
      <c r="D19" s="9"/>
      <c r="E19" s="9"/>
      <c r="F19" s="260"/>
    </row>
    <row r="20" spans="1:6" x14ac:dyDescent="0.2">
      <c r="A20" s="11" t="s">
        <v>4</v>
      </c>
      <c r="B20" s="12">
        <f>B8+B10+B12+B14</f>
        <v>9196.32</v>
      </c>
      <c r="C20" s="12">
        <f>SUM(C8:C19)</f>
        <v>1761</v>
      </c>
      <c r="D20" s="12">
        <f>SUM(D8:D19)</f>
        <v>21667</v>
      </c>
      <c r="E20" s="12">
        <f>E8+E10+E12+E14</f>
        <v>4578</v>
      </c>
      <c r="F20" s="12">
        <f>SUM(B20:E20)</f>
        <v>37202.32</v>
      </c>
    </row>
    <row r="21" spans="1:6" x14ac:dyDescent="0.2">
      <c r="A21" s="24"/>
      <c r="B21" s="24"/>
      <c r="C21" s="24"/>
      <c r="D21" s="24"/>
      <c r="E21" s="24"/>
    </row>
  </sheetData>
  <mergeCells count="5">
    <mergeCell ref="F3:F4"/>
    <mergeCell ref="B3:B4"/>
    <mergeCell ref="E3:E4"/>
    <mergeCell ref="C3:C4"/>
    <mergeCell ref="D3:D4"/>
  </mergeCells>
  <phoneticPr fontId="5" type="noConversion"/>
  <hyperlinks>
    <hyperlink ref="B1" location="Hovedark!A1" display="Hovedark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zoomScale="140" zoomScaleNormal="140" workbookViewId="0">
      <selection activeCell="H31" sqref="H31"/>
    </sheetView>
  </sheetViews>
  <sheetFormatPr baseColWidth="10" defaultColWidth="11.42578125" defaultRowHeight="12.75" x14ac:dyDescent="0.2"/>
  <cols>
    <col min="1" max="1" width="38.5703125" style="35" customWidth="1"/>
    <col min="2" max="12" width="9.28515625" style="35" customWidth="1"/>
    <col min="13" max="15" width="9.5703125" style="35" customWidth="1"/>
    <col min="16" max="16" width="11.5703125" style="35" customWidth="1"/>
    <col min="17" max="16384" width="11.42578125" style="35"/>
  </cols>
  <sheetData>
    <row r="1" spans="1:17" ht="35.25" customHeight="1" x14ac:dyDescent="0.3">
      <c r="A1" s="1" t="s">
        <v>58</v>
      </c>
      <c r="B1" s="288" t="s">
        <v>166</v>
      </c>
      <c r="C1" s="277" t="s">
        <v>216</v>
      </c>
      <c r="D1" s="277" t="s">
        <v>173</v>
      </c>
      <c r="E1" s="277" t="s">
        <v>213</v>
      </c>
      <c r="F1" s="277" t="s">
        <v>228</v>
      </c>
      <c r="G1" s="328" t="s">
        <v>218</v>
      </c>
      <c r="H1" s="329"/>
      <c r="I1" s="329"/>
      <c r="J1" s="277" t="s">
        <v>248</v>
      </c>
      <c r="K1" s="277" t="s">
        <v>256</v>
      </c>
      <c r="L1" s="277" t="s">
        <v>177</v>
      </c>
      <c r="M1" s="277" t="s">
        <v>182</v>
      </c>
      <c r="N1" s="277" t="s">
        <v>238</v>
      </c>
      <c r="O1" s="277" t="s">
        <v>214</v>
      </c>
      <c r="P1" s="326" t="s">
        <v>75</v>
      </c>
      <c r="Q1" s="87" t="s">
        <v>74</v>
      </c>
    </row>
    <row r="2" spans="1:17" ht="24.75" customHeight="1" x14ac:dyDescent="0.2">
      <c r="A2" s="45" t="s">
        <v>180</v>
      </c>
      <c r="B2" s="289"/>
      <c r="C2" s="279"/>
      <c r="D2" s="279"/>
      <c r="E2" s="279"/>
      <c r="F2" s="279"/>
      <c r="G2" s="236" t="s">
        <v>217</v>
      </c>
      <c r="H2" s="237" t="s">
        <v>203</v>
      </c>
      <c r="I2" s="259" t="s">
        <v>226</v>
      </c>
      <c r="J2" s="279"/>
      <c r="K2" s="279"/>
      <c r="L2" s="279"/>
      <c r="M2" s="279"/>
      <c r="N2" s="279"/>
      <c r="O2" s="279"/>
      <c r="P2" s="327"/>
    </row>
    <row r="3" spans="1:17" x14ac:dyDescent="0.2">
      <c r="A3" s="3" t="s">
        <v>0</v>
      </c>
      <c r="B3" s="46"/>
      <c r="C3" s="46"/>
      <c r="D3" s="4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7" x14ac:dyDescent="0.2">
      <c r="A4" s="5"/>
    </row>
    <row r="5" spans="1:17" x14ac:dyDescent="0.2">
      <c r="A5" s="5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6"/>
    </row>
    <row r="6" spans="1:17" x14ac:dyDescent="0.2">
      <c r="A6" s="10" t="s">
        <v>5</v>
      </c>
      <c r="B6" s="9"/>
      <c r="C6" s="9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>
        <v>0</v>
      </c>
      <c r="P6" s="56">
        <f>SUM(B6:O6)</f>
        <v>0</v>
      </c>
    </row>
    <row r="7" spans="1:17" x14ac:dyDescent="0.2">
      <c r="A7" s="10"/>
      <c r="B7" s="9"/>
      <c r="C7" s="9"/>
      <c r="D7" s="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56"/>
    </row>
    <row r="8" spans="1:17" x14ac:dyDescent="0.2">
      <c r="A8" s="8" t="s">
        <v>3</v>
      </c>
      <c r="B8" s="9">
        <v>1000</v>
      </c>
      <c r="C8" s="9">
        <v>0</v>
      </c>
      <c r="D8" s="9">
        <f>1500</f>
        <v>1500</v>
      </c>
      <c r="E8" s="9">
        <v>2000</v>
      </c>
      <c r="F8" s="9"/>
      <c r="G8" s="9">
        <v>1000</v>
      </c>
      <c r="H8" s="9"/>
      <c r="I8" s="9"/>
      <c r="J8" s="9">
        <v>1305</v>
      </c>
      <c r="K8" s="9"/>
      <c r="L8" s="9">
        <v>1004</v>
      </c>
      <c r="M8" s="9"/>
      <c r="N8" s="250">
        <v>1200</v>
      </c>
      <c r="O8" s="9">
        <f>$O$18*'Vit utstyr'!B7/'Vit utstyr'!$B$13</f>
        <v>1281.2147777082032</v>
      </c>
      <c r="P8" s="56">
        <f>SUM(B8:O8)</f>
        <v>10290.214777708203</v>
      </c>
    </row>
    <row r="9" spans="1:17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56"/>
    </row>
    <row r="10" spans="1:17" x14ac:dyDescent="0.2">
      <c r="A10" s="23" t="s">
        <v>131</v>
      </c>
      <c r="B10" s="9">
        <v>0</v>
      </c>
      <c r="C10" s="9">
        <v>0</v>
      </c>
      <c r="D10" s="9">
        <v>0</v>
      </c>
      <c r="E10" s="9">
        <v>0</v>
      </c>
      <c r="F10" s="250">
        <f>2260</f>
        <v>2260</v>
      </c>
      <c r="G10" s="9"/>
      <c r="H10" s="9"/>
      <c r="I10" s="250"/>
      <c r="J10" s="9">
        <v>578</v>
      </c>
      <c r="K10" s="9"/>
      <c r="L10" s="9">
        <v>1004</v>
      </c>
      <c r="M10" s="9">
        <v>220</v>
      </c>
      <c r="N10" s="9"/>
      <c r="O10" s="9">
        <f>$O$18*'Vit utstyr'!B9/'Vit utstyr'!$B$13</f>
        <v>1267.3137132122731</v>
      </c>
      <c r="P10" s="56">
        <f>SUM(B10:O10)</f>
        <v>5329.3137132122729</v>
      </c>
    </row>
    <row r="11" spans="1:17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56"/>
    </row>
    <row r="12" spans="1:17" x14ac:dyDescent="0.2">
      <c r="A12" s="23" t="s">
        <v>145</v>
      </c>
      <c r="B12" s="9">
        <v>0</v>
      </c>
      <c r="C12" s="9">
        <v>1600</v>
      </c>
      <c r="D12" s="9">
        <v>0</v>
      </c>
      <c r="E12" s="9">
        <v>6000</v>
      </c>
      <c r="F12" s="9"/>
      <c r="G12" s="9">
        <v>2000</v>
      </c>
      <c r="H12" s="9">
        <v>3000</v>
      </c>
      <c r="I12" s="9"/>
      <c r="J12" s="9"/>
      <c r="K12" s="9"/>
      <c r="L12" s="9">
        <f>2*1004</f>
        <v>2008</v>
      </c>
      <c r="M12" s="9">
        <v>0</v>
      </c>
      <c r="N12" s="9"/>
      <c r="O12" s="9">
        <f>$O$18*'Vit utstyr'!B11/'Vit utstyr'!$B$13</f>
        <v>1151.4715090795241</v>
      </c>
      <c r="P12" s="56">
        <f>SUM(B12:O12)</f>
        <v>15759.471509079523</v>
      </c>
    </row>
    <row r="13" spans="1:17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56"/>
    </row>
    <row r="14" spans="1:17" x14ac:dyDescent="0.2">
      <c r="A14" s="8" t="s">
        <v>254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56">
        <f>SUM(B14:O14)</f>
        <v>0</v>
      </c>
    </row>
    <row r="15" spans="1:17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56"/>
    </row>
    <row r="16" spans="1:17" x14ac:dyDescent="0.2">
      <c r="A16" s="8" t="s">
        <v>255</v>
      </c>
      <c r="B16" s="9"/>
      <c r="C16" s="9"/>
      <c r="D16" s="9"/>
      <c r="E16" s="9"/>
      <c r="F16" s="9"/>
      <c r="G16" s="9"/>
      <c r="H16" s="9"/>
      <c r="I16" s="9"/>
      <c r="J16" s="9">
        <v>674</v>
      </c>
      <c r="K16" s="9">
        <v>8500</v>
      </c>
      <c r="L16" s="9"/>
      <c r="M16" s="9"/>
      <c r="N16" s="9"/>
      <c r="O16" s="9"/>
      <c r="P16" s="56">
        <f>SUM(B16:O16)</f>
        <v>9174</v>
      </c>
    </row>
    <row r="17" spans="1:16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56"/>
    </row>
    <row r="18" spans="1:16" x14ac:dyDescent="0.2">
      <c r="A18" s="11" t="s">
        <v>4</v>
      </c>
      <c r="B18" s="12">
        <f t="shared" ref="B18:M18" si="0">SUM(B5:B17)</f>
        <v>1000</v>
      </c>
      <c r="C18" s="12">
        <f t="shared" si="0"/>
        <v>1600</v>
      </c>
      <c r="D18" s="12">
        <f t="shared" si="0"/>
        <v>1500</v>
      </c>
      <c r="E18" s="12">
        <f t="shared" si="0"/>
        <v>8000</v>
      </c>
      <c r="F18" s="12">
        <f t="shared" si="0"/>
        <v>2260</v>
      </c>
      <c r="G18" s="12">
        <f t="shared" si="0"/>
        <v>3000</v>
      </c>
      <c r="H18" s="12">
        <f t="shared" si="0"/>
        <v>3000</v>
      </c>
      <c r="I18" s="12">
        <f t="shared" si="0"/>
        <v>0</v>
      </c>
      <c r="J18" s="12">
        <f t="shared" si="0"/>
        <v>2557</v>
      </c>
      <c r="K18" s="12">
        <f t="shared" si="0"/>
        <v>8500</v>
      </c>
      <c r="L18" s="12">
        <f t="shared" si="0"/>
        <v>4016</v>
      </c>
      <c r="M18" s="12">
        <f t="shared" si="0"/>
        <v>220</v>
      </c>
      <c r="N18" s="12">
        <f>SUM(N5:N17)</f>
        <v>1200</v>
      </c>
      <c r="O18" s="12">
        <f>2100+1600</f>
        <v>3700</v>
      </c>
      <c r="P18" s="258">
        <f>SUM(B18:O18)</f>
        <v>40553</v>
      </c>
    </row>
    <row r="19" spans="1:16" x14ac:dyDescent="0.2">
      <c r="A19" s="2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56"/>
    </row>
    <row r="20" spans="1:16" s="24" customFormat="1" x14ac:dyDescent="0.2"/>
    <row r="21" spans="1:16" s="24" customFormat="1" x14ac:dyDescent="0.2"/>
    <row r="22" spans="1:16" s="24" customFormat="1" x14ac:dyDescent="0.2"/>
    <row r="23" spans="1:16" s="24" customFormat="1" x14ac:dyDescent="0.2"/>
    <row r="24" spans="1:16" s="24" customFormat="1" x14ac:dyDescent="0.2"/>
    <row r="25" spans="1:16" s="24" customFormat="1" x14ac:dyDescent="0.2"/>
    <row r="26" spans="1:16" s="24" customFormat="1" x14ac:dyDescent="0.2"/>
    <row r="27" spans="1:16" s="24" customFormat="1" x14ac:dyDescent="0.2"/>
    <row r="28" spans="1:16" s="24" customFormat="1" x14ac:dyDescent="0.2"/>
    <row r="29" spans="1:16" s="24" customFormat="1" x14ac:dyDescent="0.2"/>
    <row r="30" spans="1:16" s="24" customFormat="1" x14ac:dyDescent="0.2"/>
    <row r="31" spans="1:16" s="24" customFormat="1" x14ac:dyDescent="0.2"/>
    <row r="32" spans="1:16" s="24" customFormat="1" x14ac:dyDescent="0.2"/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  <row r="57" s="24" customFormat="1" x14ac:dyDescent="0.2"/>
    <row r="58" s="24" customFormat="1" x14ac:dyDescent="0.2"/>
    <row r="59" s="24" customFormat="1" x14ac:dyDescent="0.2"/>
    <row r="60" s="24" customFormat="1" x14ac:dyDescent="0.2"/>
    <row r="61" s="24" customFormat="1" x14ac:dyDescent="0.2"/>
    <row r="62" s="24" customFormat="1" x14ac:dyDescent="0.2"/>
    <row r="63" s="24" customFormat="1" x14ac:dyDescent="0.2"/>
    <row r="64" s="24" customFormat="1" x14ac:dyDescent="0.2"/>
    <row r="65" s="24" customFormat="1" x14ac:dyDescent="0.2"/>
    <row r="66" s="24" customFormat="1" x14ac:dyDescent="0.2"/>
    <row r="67" s="24" customFormat="1" x14ac:dyDescent="0.2"/>
    <row r="68" s="24" customFormat="1" x14ac:dyDescent="0.2"/>
    <row r="69" s="24" customFormat="1" x14ac:dyDescent="0.2"/>
    <row r="70" s="24" customFormat="1" x14ac:dyDescent="0.2"/>
    <row r="71" s="24" customFormat="1" x14ac:dyDescent="0.2"/>
    <row r="72" s="24" customFormat="1" x14ac:dyDescent="0.2"/>
    <row r="73" s="24" customFormat="1" x14ac:dyDescent="0.2"/>
    <row r="74" s="24" customFormat="1" x14ac:dyDescent="0.2"/>
  </sheetData>
  <mergeCells count="13">
    <mergeCell ref="E1:E2"/>
    <mergeCell ref="B1:B2"/>
    <mergeCell ref="P1:P2"/>
    <mergeCell ref="D1:D2"/>
    <mergeCell ref="C1:C2"/>
    <mergeCell ref="L1:L2"/>
    <mergeCell ref="M1:M2"/>
    <mergeCell ref="O1:O2"/>
    <mergeCell ref="F1:F2"/>
    <mergeCell ref="N1:N2"/>
    <mergeCell ref="G1:I1"/>
    <mergeCell ref="J1:J2"/>
    <mergeCell ref="K1:K2"/>
  </mergeCells>
  <phoneticPr fontId="5" type="noConversion"/>
  <hyperlinks>
    <hyperlink ref="Q1" location="Hovedark!A1" display="Hovedside"/>
  </hyperlinks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="145" zoomScaleNormal="145" zoomScaleSheetLayoutView="100" workbookViewId="0">
      <pane xSplit="1" topLeftCell="B1" activePane="topRight" state="frozen"/>
      <selection activeCell="A23" sqref="A23:B49"/>
      <selection pane="topRight" activeCell="B6" sqref="B6"/>
    </sheetView>
  </sheetViews>
  <sheetFormatPr baseColWidth="10" defaultColWidth="9.140625" defaultRowHeight="12.75" x14ac:dyDescent="0.2"/>
  <cols>
    <col min="1" max="1" width="42.7109375" style="35" bestFit="1" customWidth="1"/>
    <col min="2" max="3" width="13.5703125" style="35" customWidth="1"/>
    <col min="4" max="16384" width="9.140625" style="35"/>
  </cols>
  <sheetData>
    <row r="1" spans="1:7" ht="18.75" x14ac:dyDescent="0.3">
      <c r="A1" s="87" t="s">
        <v>65</v>
      </c>
      <c r="B1" s="1" t="s">
        <v>141</v>
      </c>
    </row>
    <row r="3" spans="1:7" x14ac:dyDescent="0.2">
      <c r="A3" s="3"/>
      <c r="B3" s="285" t="s">
        <v>116</v>
      </c>
      <c r="C3" s="286"/>
      <c r="D3" s="287"/>
    </row>
    <row r="4" spans="1:7" ht="25.5" x14ac:dyDescent="0.2">
      <c r="A4" s="20" t="s">
        <v>2</v>
      </c>
      <c r="B4" s="207" t="s">
        <v>36</v>
      </c>
      <c r="C4" s="67" t="s">
        <v>148</v>
      </c>
      <c r="D4" s="206" t="s">
        <v>1</v>
      </c>
    </row>
    <row r="5" spans="1:7" x14ac:dyDescent="0.2">
      <c r="A5" s="50" t="s">
        <v>5</v>
      </c>
      <c r="B5" s="7">
        <v>20645</v>
      </c>
      <c r="C5" s="7">
        <v>0</v>
      </c>
      <c r="D5" s="56">
        <f>SUM(B5:C5)</f>
        <v>20645</v>
      </c>
    </row>
    <row r="6" spans="1:7" x14ac:dyDescent="0.2">
      <c r="A6" s="50"/>
      <c r="B6" s="7"/>
      <c r="C6" s="7"/>
      <c r="D6" s="56"/>
    </row>
    <row r="7" spans="1:7" x14ac:dyDescent="0.2">
      <c r="A7" s="8" t="s">
        <v>3</v>
      </c>
      <c r="B7" s="7">
        <v>0</v>
      </c>
      <c r="C7" s="7">
        <v>0</v>
      </c>
      <c r="D7" s="56">
        <f t="shared" ref="D7:D11" si="0">SUM(B7:C7)</f>
        <v>0</v>
      </c>
    </row>
    <row r="8" spans="1:7" x14ac:dyDescent="0.2">
      <c r="A8" s="8"/>
      <c r="B8" s="56"/>
      <c r="C8" s="56"/>
      <c r="D8" s="56"/>
    </row>
    <row r="9" spans="1:7" x14ac:dyDescent="0.2">
      <c r="A9" s="8" t="s">
        <v>131</v>
      </c>
      <c r="B9" s="7">
        <v>0</v>
      </c>
      <c r="C9" s="7">
        <v>0</v>
      </c>
      <c r="D9" s="56">
        <f t="shared" si="0"/>
        <v>0</v>
      </c>
      <c r="G9" s="205"/>
    </row>
    <row r="10" spans="1:7" x14ac:dyDescent="0.2">
      <c r="A10" s="8"/>
      <c r="B10" s="56"/>
      <c r="C10" s="56"/>
      <c r="D10" s="56"/>
    </row>
    <row r="11" spans="1:7" x14ac:dyDescent="0.2">
      <c r="A11" s="8" t="s">
        <v>145</v>
      </c>
      <c r="B11" s="7">
        <v>0</v>
      </c>
      <c r="C11" s="7">
        <v>15491</v>
      </c>
      <c r="D11" s="56">
        <f t="shared" si="0"/>
        <v>15491</v>
      </c>
    </row>
    <row r="12" spans="1:7" x14ac:dyDescent="0.2">
      <c r="A12" s="8"/>
      <c r="B12" s="56"/>
      <c r="C12" s="56"/>
      <c r="D12" s="56"/>
    </row>
    <row r="13" spans="1:7" x14ac:dyDescent="0.2">
      <c r="A13" s="47" t="s">
        <v>4</v>
      </c>
      <c r="B13" s="12">
        <f>SUM(B5:B12)</f>
        <v>20645</v>
      </c>
      <c r="C13" s="12">
        <f>SUM(C5:C12)</f>
        <v>15491</v>
      </c>
      <c r="D13" s="12">
        <f>SUM(D5:D12)</f>
        <v>36136</v>
      </c>
    </row>
    <row r="15" spans="1:7" ht="15.75" x14ac:dyDescent="0.25">
      <c r="A15" s="90"/>
    </row>
  </sheetData>
  <mergeCells count="1">
    <mergeCell ref="B3:D3"/>
  </mergeCells>
  <phoneticPr fontId="5" type="noConversion"/>
  <hyperlinks>
    <hyperlink ref="A1" location="Hovedark!A1" display="Hovedark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zoomScale="200" zoomScaleNormal="200" workbookViewId="0">
      <selection activeCell="A7" sqref="A7"/>
    </sheetView>
  </sheetViews>
  <sheetFormatPr baseColWidth="10" defaultColWidth="9.140625" defaultRowHeight="12.75" x14ac:dyDescent="0.2"/>
  <cols>
    <col min="1" max="1" width="43.28515625" style="35" customWidth="1"/>
    <col min="2" max="2" width="11.28515625" style="35" customWidth="1"/>
    <col min="3" max="16384" width="9.140625" style="35"/>
  </cols>
  <sheetData>
    <row r="2" spans="1:2" ht="18.75" x14ac:dyDescent="0.3">
      <c r="A2" s="210" t="s">
        <v>237</v>
      </c>
      <c r="B2" s="202"/>
    </row>
    <row r="3" spans="1:2" x14ac:dyDescent="0.2">
      <c r="A3" s="7"/>
      <c r="B3" s="7"/>
    </row>
    <row r="4" spans="1:2" x14ac:dyDescent="0.2">
      <c r="A4" s="7" t="s">
        <v>144</v>
      </c>
      <c r="B4" s="7">
        <v>450</v>
      </c>
    </row>
    <row r="5" spans="1:2" x14ac:dyDescent="0.2">
      <c r="A5" s="7" t="s">
        <v>131</v>
      </c>
      <c r="B5" s="7">
        <v>0</v>
      </c>
    </row>
    <row r="6" spans="1:2" x14ac:dyDescent="0.2">
      <c r="A6" s="9" t="s">
        <v>259</v>
      </c>
      <c r="B6" s="9">
        <f>450+650</f>
        <v>1100</v>
      </c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zoomScale="150" zoomScaleNormal="150" workbookViewId="0">
      <selection activeCell="A22" sqref="A22:XFD22"/>
    </sheetView>
  </sheetViews>
  <sheetFormatPr baseColWidth="10" defaultColWidth="9.140625" defaultRowHeight="12.75" x14ac:dyDescent="0.2"/>
  <cols>
    <col min="1" max="1" width="48" style="35" customWidth="1"/>
    <col min="2" max="2" width="18.28515625" style="3" customWidth="1"/>
    <col min="3" max="3" width="6.42578125" style="247" bestFit="1" customWidth="1"/>
    <col min="4" max="4" width="48" style="35" customWidth="1"/>
    <col min="5" max="5" width="18.28515625" style="35" customWidth="1"/>
    <col min="6" max="16384" width="9.140625" style="35"/>
  </cols>
  <sheetData>
    <row r="1" spans="1:5" x14ac:dyDescent="0.2">
      <c r="B1" s="88" t="s">
        <v>74</v>
      </c>
    </row>
    <row r="2" spans="1:5" x14ac:dyDescent="0.2">
      <c r="A2" s="209" t="s">
        <v>201</v>
      </c>
      <c r="B2" s="34"/>
      <c r="D2" s="209" t="s">
        <v>193</v>
      </c>
      <c r="E2" s="34"/>
    </row>
    <row r="3" spans="1:5" x14ac:dyDescent="0.2">
      <c r="A3" s="21"/>
      <c r="B3" s="9"/>
      <c r="D3" s="21" t="s">
        <v>194</v>
      </c>
      <c r="E3" s="9">
        <v>1500</v>
      </c>
    </row>
    <row r="4" spans="1:5" x14ac:dyDescent="0.2">
      <c r="A4" s="21" t="s">
        <v>234</v>
      </c>
      <c r="B4" s="9">
        <v>10634</v>
      </c>
      <c r="D4" s="21" t="s">
        <v>160</v>
      </c>
      <c r="E4" s="9">
        <v>1000</v>
      </c>
    </row>
    <row r="5" spans="1:5" x14ac:dyDescent="0.2">
      <c r="A5" s="21" t="s">
        <v>232</v>
      </c>
      <c r="B5" s="9">
        <v>12282</v>
      </c>
      <c r="D5" s="21" t="s">
        <v>76</v>
      </c>
      <c r="E5" s="9">
        <v>130</v>
      </c>
    </row>
    <row r="6" spans="1:5" x14ac:dyDescent="0.2">
      <c r="A6" s="21" t="s">
        <v>171</v>
      </c>
      <c r="B6" s="9">
        <v>10398</v>
      </c>
      <c r="D6" s="21" t="s">
        <v>77</v>
      </c>
      <c r="E6" s="9">
        <v>140</v>
      </c>
    </row>
    <row r="7" spans="1:5" x14ac:dyDescent="0.2">
      <c r="A7" s="21" t="s">
        <v>233</v>
      </c>
      <c r="B7" s="9">
        <v>14278</v>
      </c>
      <c r="D7" s="21" t="s">
        <v>195</v>
      </c>
      <c r="E7" s="9">
        <v>500</v>
      </c>
    </row>
    <row r="8" spans="1:5" x14ac:dyDescent="0.2">
      <c r="A8" s="21" t="s">
        <v>172</v>
      </c>
      <c r="B8" s="9">
        <v>2691</v>
      </c>
      <c r="D8" s="21" t="s">
        <v>215</v>
      </c>
      <c r="E8" s="9">
        <v>300</v>
      </c>
    </row>
    <row r="9" spans="1:5" x14ac:dyDescent="0.2">
      <c r="A9" s="21" t="s">
        <v>251</v>
      </c>
      <c r="B9" s="9">
        <v>3069</v>
      </c>
      <c r="D9" s="21" t="s">
        <v>210</v>
      </c>
      <c r="E9" s="9">
        <v>1900</v>
      </c>
    </row>
    <row r="10" spans="1:5" x14ac:dyDescent="0.2">
      <c r="A10" s="11" t="s">
        <v>202</v>
      </c>
      <c r="B10" s="34">
        <f>SUM(B3:B9)</f>
        <v>53352</v>
      </c>
      <c r="D10" s="21" t="s">
        <v>211</v>
      </c>
      <c r="E10" s="9">
        <v>3000</v>
      </c>
    </row>
    <row r="11" spans="1:5" x14ac:dyDescent="0.2">
      <c r="D11" s="21" t="s">
        <v>212</v>
      </c>
      <c r="E11" s="9">
        <v>500</v>
      </c>
    </row>
    <row r="12" spans="1:5" x14ac:dyDescent="0.2">
      <c r="A12" s="45"/>
      <c r="D12" s="21" t="s">
        <v>196</v>
      </c>
      <c r="E12" s="9">
        <v>1200</v>
      </c>
    </row>
    <row r="13" spans="1:5" x14ac:dyDescent="0.2">
      <c r="A13" s="86" t="s">
        <v>191</v>
      </c>
      <c r="B13" s="208"/>
      <c r="D13" s="21" t="s">
        <v>40</v>
      </c>
      <c r="E13" s="9">
        <v>62000</v>
      </c>
    </row>
    <row r="14" spans="1:5" x14ac:dyDescent="0.2">
      <c r="A14" s="32" t="s">
        <v>183</v>
      </c>
      <c r="B14" s="9">
        <v>1200</v>
      </c>
      <c r="D14" s="21" t="s">
        <v>197</v>
      </c>
      <c r="E14" s="9">
        <f>9000</f>
        <v>9000</v>
      </c>
    </row>
    <row r="15" spans="1:5" x14ac:dyDescent="0.2">
      <c r="A15" s="32" t="s">
        <v>184</v>
      </c>
      <c r="B15" s="250">
        <v>1100</v>
      </c>
      <c r="D15" s="21" t="s">
        <v>198</v>
      </c>
      <c r="E15" s="9">
        <v>1100</v>
      </c>
    </row>
    <row r="16" spans="1:5" x14ac:dyDescent="0.2">
      <c r="A16" s="32" t="s">
        <v>185</v>
      </c>
      <c r="B16" s="9">
        <v>1000</v>
      </c>
      <c r="D16" s="21" t="s">
        <v>199</v>
      </c>
      <c r="E16" s="9">
        <v>550</v>
      </c>
    </row>
    <row r="17" spans="1:5" x14ac:dyDescent="0.2">
      <c r="A17" s="32" t="s">
        <v>186</v>
      </c>
      <c r="B17" s="9">
        <v>400</v>
      </c>
      <c r="D17" s="218" t="s">
        <v>200</v>
      </c>
      <c r="E17" s="34">
        <f>SUM(E3:E16)</f>
        <v>82820</v>
      </c>
    </row>
    <row r="18" spans="1:5" x14ac:dyDescent="0.2">
      <c r="A18" s="32" t="s">
        <v>187</v>
      </c>
      <c r="B18" s="9">
        <v>300</v>
      </c>
    </row>
    <row r="19" spans="1:5" x14ac:dyDescent="0.2">
      <c r="A19" s="32" t="s">
        <v>188</v>
      </c>
      <c r="B19" s="9">
        <v>120</v>
      </c>
    </row>
    <row r="20" spans="1:5" x14ac:dyDescent="0.2">
      <c r="A20" s="32" t="s">
        <v>189</v>
      </c>
      <c r="B20" s="9">
        <v>300</v>
      </c>
      <c r="C20" s="249"/>
    </row>
    <row r="21" spans="1:5" x14ac:dyDescent="0.2">
      <c r="A21" s="84" t="s">
        <v>227</v>
      </c>
      <c r="B21" s="9">
        <v>500</v>
      </c>
      <c r="C21" s="249"/>
    </row>
    <row r="22" spans="1:5" x14ac:dyDescent="0.2">
      <c r="A22" s="32" t="s">
        <v>190</v>
      </c>
      <c r="B22" s="9">
        <v>100</v>
      </c>
      <c r="C22" s="251"/>
      <c r="E22" s="3"/>
    </row>
    <row r="23" spans="1:5" x14ac:dyDescent="0.2">
      <c r="A23" s="32" t="s">
        <v>236</v>
      </c>
      <c r="B23" s="9">
        <v>2000</v>
      </c>
      <c r="C23" s="251"/>
      <c r="E23" s="3"/>
    </row>
    <row r="24" spans="1:5" x14ac:dyDescent="0.2">
      <c r="A24" s="32" t="s">
        <v>243</v>
      </c>
      <c r="B24" s="250">
        <v>800</v>
      </c>
      <c r="C24" s="251"/>
      <c r="E24" s="3"/>
    </row>
    <row r="25" spans="1:5" x14ac:dyDescent="0.2">
      <c r="A25" s="32" t="s">
        <v>252</v>
      </c>
      <c r="B25" s="250">
        <v>700</v>
      </c>
      <c r="C25" s="251"/>
      <c r="E25" s="3"/>
    </row>
    <row r="26" spans="1:5" x14ac:dyDescent="0.2">
      <c r="A26" s="32" t="s">
        <v>244</v>
      </c>
      <c r="B26" s="250">
        <v>500</v>
      </c>
      <c r="C26" s="251"/>
      <c r="E26" s="3"/>
    </row>
    <row r="27" spans="1:5" x14ac:dyDescent="0.2">
      <c r="A27" s="32" t="s">
        <v>247</v>
      </c>
      <c r="B27" s="250">
        <v>3000</v>
      </c>
      <c r="C27" s="251"/>
      <c r="E27" s="3"/>
    </row>
    <row r="28" spans="1:5" x14ac:dyDescent="0.2">
      <c r="A28" s="32" t="s">
        <v>250</v>
      </c>
      <c r="B28" s="250">
        <v>300</v>
      </c>
      <c r="C28" s="251"/>
      <c r="E28" s="3"/>
    </row>
    <row r="29" spans="1:5" x14ac:dyDescent="0.2">
      <c r="A29" s="84" t="s">
        <v>253</v>
      </c>
      <c r="B29" s="250">
        <v>1000</v>
      </c>
      <c r="C29" s="251"/>
      <c r="E29" s="3"/>
    </row>
    <row r="30" spans="1:5" x14ac:dyDescent="0.2">
      <c r="A30" s="223" t="s">
        <v>192</v>
      </c>
      <c r="B30" s="224">
        <f>SUM(B14:B29)</f>
        <v>13320</v>
      </c>
      <c r="C30" s="251"/>
    </row>
    <row r="31" spans="1:5" x14ac:dyDescent="0.2">
      <c r="C31" s="251"/>
    </row>
    <row r="32" spans="1:5" x14ac:dyDescent="0.2">
      <c r="C32" s="251"/>
    </row>
    <row r="33" spans="3:3" x14ac:dyDescent="0.2">
      <c r="C33" s="251"/>
    </row>
    <row r="34" spans="3:3" x14ac:dyDescent="0.2">
      <c r="C34" s="251"/>
    </row>
    <row r="35" spans="3:3" x14ac:dyDescent="0.2">
      <c r="C35" s="251"/>
    </row>
    <row r="36" spans="3:3" x14ac:dyDescent="0.2">
      <c r="C36" s="251"/>
    </row>
    <row r="37" spans="3:3" x14ac:dyDescent="0.2">
      <c r="C37" s="251"/>
    </row>
    <row r="38" spans="3:3" x14ac:dyDescent="0.2">
      <c r="C38" s="251"/>
    </row>
    <row r="39" spans="3:3" x14ac:dyDescent="0.2">
      <c r="C39" s="251"/>
    </row>
    <row r="40" spans="3:3" x14ac:dyDescent="0.2">
      <c r="C40" s="249"/>
    </row>
    <row r="41" spans="3:3" x14ac:dyDescent="0.2">
      <c r="C41" s="249"/>
    </row>
    <row r="42" spans="3:3" x14ac:dyDescent="0.2">
      <c r="C42"/>
    </row>
  </sheetData>
  <phoneticPr fontId="5" type="noConversion"/>
  <hyperlinks>
    <hyperlink ref="B1" location="Hovedark!A1" display="Hovedside"/>
  </hyperlinks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zoomScale="220" zoomScaleNormal="220" workbookViewId="0">
      <selection activeCell="B4" sqref="B4"/>
    </sheetView>
  </sheetViews>
  <sheetFormatPr baseColWidth="10" defaultColWidth="9.140625" defaultRowHeight="12.75" x14ac:dyDescent="0.2"/>
  <cols>
    <col min="1" max="1" width="15.5703125" bestFit="1" customWidth="1"/>
  </cols>
  <sheetData>
    <row r="2" spans="1:2" x14ac:dyDescent="0.2">
      <c r="A2" t="s">
        <v>240</v>
      </c>
      <c r="B2" s="257">
        <v>0.02</v>
      </c>
    </row>
    <row r="3" spans="1:2" x14ac:dyDescent="0.2">
      <c r="A3" t="s">
        <v>241</v>
      </c>
      <c r="B3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30"/>
  <sheetViews>
    <sheetView zoomScale="130" zoomScaleNormal="130" workbookViewId="0">
      <pane xSplit="1" topLeftCell="B1" activePane="topRight" state="frozen"/>
      <selection activeCell="A23" sqref="A23:B49"/>
      <selection pane="topRight" activeCell="H7" sqref="H7"/>
    </sheetView>
  </sheetViews>
  <sheetFormatPr baseColWidth="10" defaultColWidth="9.140625" defaultRowHeight="12.75" x14ac:dyDescent="0.2"/>
  <cols>
    <col min="1" max="1" width="38.85546875" style="35" bestFit="1" customWidth="1"/>
    <col min="2" max="2" width="11" style="35" customWidth="1"/>
    <col min="3" max="3" width="10.5703125" style="35" customWidth="1"/>
    <col min="4" max="5" width="9.28515625" style="35" bestFit="1" customWidth="1"/>
    <col min="6" max="7" width="10" style="35" customWidth="1"/>
    <col min="8" max="8" width="9.42578125" style="35" bestFit="1" customWidth="1"/>
    <col min="9" max="10" width="9.28515625" style="35" bestFit="1" customWidth="1"/>
    <col min="11" max="11" width="10" style="35" customWidth="1"/>
    <col min="12" max="12" width="10.140625" style="35" customWidth="1"/>
    <col min="13" max="13" width="9.28515625" style="35" bestFit="1" customWidth="1"/>
    <col min="14" max="14" width="9.140625" style="35" customWidth="1"/>
    <col min="15" max="15" width="9.28515625" style="35" bestFit="1" customWidth="1"/>
    <col min="16" max="16" width="10.28515625" style="35" customWidth="1"/>
    <col min="17" max="17" width="10.85546875" style="35" customWidth="1"/>
    <col min="18" max="18" width="9.140625" style="35"/>
    <col min="19" max="20" width="9.140625" style="35" customWidth="1"/>
    <col min="21" max="21" width="10.140625" style="35" customWidth="1"/>
    <col min="22" max="22" width="10.7109375" style="35" customWidth="1"/>
    <col min="23" max="16384" width="9.140625" style="35"/>
  </cols>
  <sheetData>
    <row r="2" spans="1:23" x14ac:dyDescent="0.2">
      <c r="D2" s="45"/>
      <c r="P2" s="45"/>
    </row>
    <row r="3" spans="1:23" ht="18.75" customHeight="1" x14ac:dyDescent="0.3">
      <c r="A3" s="1" t="s">
        <v>178</v>
      </c>
      <c r="B3" s="2"/>
      <c r="C3" s="285" t="s">
        <v>6</v>
      </c>
      <c r="D3" s="286"/>
      <c r="E3" s="286"/>
      <c r="F3" s="286"/>
      <c r="G3" s="287"/>
      <c r="H3" s="285" t="s">
        <v>11</v>
      </c>
      <c r="I3" s="286"/>
      <c r="J3" s="286"/>
      <c r="K3" s="286"/>
      <c r="L3" s="287"/>
      <c r="M3" s="285" t="s">
        <v>12</v>
      </c>
      <c r="N3" s="286"/>
      <c r="O3" s="286"/>
      <c r="P3" s="286"/>
      <c r="Q3" s="287"/>
      <c r="R3" s="285" t="s">
        <v>13</v>
      </c>
      <c r="S3" s="286"/>
      <c r="T3" s="286"/>
      <c r="U3" s="286"/>
      <c r="V3" s="287"/>
      <c r="W3" s="3"/>
    </row>
    <row r="4" spans="1:23" ht="12.75" customHeight="1" x14ac:dyDescent="0.2">
      <c r="A4" s="3" t="s">
        <v>0</v>
      </c>
      <c r="B4" s="4"/>
      <c r="C4" s="290" t="s">
        <v>7</v>
      </c>
      <c r="D4" s="292" t="s">
        <v>8</v>
      </c>
      <c r="E4" s="282" t="s">
        <v>9</v>
      </c>
      <c r="F4" s="282" t="s">
        <v>10</v>
      </c>
      <c r="G4" s="288" t="s">
        <v>1</v>
      </c>
      <c r="H4" s="292" t="s">
        <v>7</v>
      </c>
      <c r="I4" s="292" t="s">
        <v>8</v>
      </c>
      <c r="J4" s="282" t="s">
        <v>9</v>
      </c>
      <c r="K4" s="282" t="s">
        <v>10</v>
      </c>
      <c r="L4" s="288" t="s">
        <v>1</v>
      </c>
      <c r="M4" s="290" t="s">
        <v>7</v>
      </c>
      <c r="N4" s="292" t="s">
        <v>8</v>
      </c>
      <c r="O4" s="282" t="s">
        <v>9</v>
      </c>
      <c r="P4" s="282" t="s">
        <v>10</v>
      </c>
      <c r="Q4" s="288" t="s">
        <v>1</v>
      </c>
      <c r="R4" s="290" t="s">
        <v>7</v>
      </c>
      <c r="S4" s="292" t="s">
        <v>8</v>
      </c>
      <c r="T4" s="282" t="s">
        <v>9</v>
      </c>
      <c r="U4" s="282" t="s">
        <v>10</v>
      </c>
      <c r="V4" s="288" t="s">
        <v>1</v>
      </c>
      <c r="W4" s="3"/>
    </row>
    <row r="5" spans="1:23" ht="25.5" customHeight="1" x14ac:dyDescent="0.2">
      <c r="A5" s="5" t="s">
        <v>2</v>
      </c>
      <c r="B5" s="6" t="s">
        <v>15</v>
      </c>
      <c r="C5" s="291"/>
      <c r="D5" s="293"/>
      <c r="E5" s="284"/>
      <c r="F5" s="284"/>
      <c r="G5" s="289"/>
      <c r="H5" s="293"/>
      <c r="I5" s="293"/>
      <c r="J5" s="284"/>
      <c r="K5" s="284"/>
      <c r="L5" s="289"/>
      <c r="M5" s="291"/>
      <c r="N5" s="293"/>
      <c r="O5" s="284"/>
      <c r="P5" s="284"/>
      <c r="Q5" s="289"/>
      <c r="R5" s="291"/>
      <c r="S5" s="293"/>
      <c r="T5" s="284"/>
      <c r="U5" s="284"/>
      <c r="V5" s="289"/>
      <c r="W5" s="3"/>
    </row>
    <row r="6" spans="1:23" s="85" customFormat="1" x14ac:dyDescent="0.2">
      <c r="A6" s="15" t="s">
        <v>5</v>
      </c>
      <c r="B6" s="16">
        <f>G6+L6+Q6+V6</f>
        <v>192476.45600000001</v>
      </c>
      <c r="C6" s="15">
        <f>Undervisningsregnskap!F4/1000</f>
        <v>0</v>
      </c>
      <c r="D6" s="15">
        <v>0</v>
      </c>
      <c r="E6" s="15">
        <f>'FU Særs kostn'!P7</f>
        <v>0</v>
      </c>
      <c r="F6" s="15">
        <v>0</v>
      </c>
      <c r="G6" s="16">
        <f>SUM(C6:F6)</f>
        <v>0</v>
      </c>
      <c r="H6" s="15">
        <f>'Vit utstyr'!D5+'Rekr still'!F6+'Forskerlinj-utd'!C8+'Forskerlinj-utd'!B8</f>
        <v>14896</v>
      </c>
      <c r="I6" s="7">
        <f>'FoF Resultat'!K5+'FoF Resultat'!K22+'FoF Resultat'!K39+'FoF Resultat'!K57</f>
        <v>7443.4559999999992</v>
      </c>
      <c r="J6" s="15">
        <f>'FoF Særs kost'!F8</f>
        <v>0</v>
      </c>
      <c r="K6" s="7">
        <f>'FoF midl satsn'!P6</f>
        <v>0</v>
      </c>
      <c r="L6" s="16">
        <f>SUM(H6:K6)</f>
        <v>22339.455999999998</v>
      </c>
      <c r="M6" s="15">
        <f>Samfunsoppd!D5</f>
        <v>20645</v>
      </c>
      <c r="N6" s="15"/>
      <c r="O6" s="15"/>
      <c r="P6" s="15"/>
      <c r="Q6" s="16">
        <f>SUM(M6:P6)</f>
        <v>20645</v>
      </c>
      <c r="R6" s="15">
        <f>Fellesadm!B10+Fellesadm!B30+Fellesadm!E17</f>
        <v>149492</v>
      </c>
      <c r="S6" s="15"/>
      <c r="T6" s="15"/>
      <c r="U6" s="15"/>
      <c r="V6" s="16">
        <f>SUM(R6:U6)</f>
        <v>149492</v>
      </c>
      <c r="W6" s="14"/>
    </row>
    <row r="7" spans="1:23" s="85" customFormat="1" x14ac:dyDescent="0.2">
      <c r="A7" s="50"/>
      <c r="B7" s="16"/>
      <c r="C7" s="15"/>
      <c r="D7" s="15"/>
      <c r="E7" s="15"/>
      <c r="F7" s="15"/>
      <c r="G7" s="16"/>
      <c r="H7" s="15"/>
      <c r="I7" s="7"/>
      <c r="J7" s="15"/>
      <c r="K7" s="7"/>
      <c r="L7" s="16"/>
      <c r="M7" s="15"/>
      <c r="N7" s="15"/>
      <c r="O7" s="15"/>
      <c r="P7" s="15"/>
      <c r="Q7" s="16"/>
      <c r="R7" s="15"/>
      <c r="S7" s="15"/>
      <c r="T7" s="15"/>
      <c r="U7" s="15"/>
      <c r="V7" s="16"/>
      <c r="W7" s="14"/>
    </row>
    <row r="8" spans="1:23" x14ac:dyDescent="0.2">
      <c r="A8" s="8" t="s">
        <v>3</v>
      </c>
      <c r="B8" s="16">
        <f t="shared" ref="B8:B16" si="0">G8+L8+Q8+V8</f>
        <v>143530.10110959539</v>
      </c>
      <c r="C8" s="7">
        <f>(Undervisningsregnskap!F6)/1000</f>
        <v>49906.38399759883</v>
      </c>
      <c r="D8" s="7">
        <v>0</v>
      </c>
      <c r="E8" s="15">
        <f>'FU Særs kostn'!P9</f>
        <v>10439.1</v>
      </c>
      <c r="F8" s="9">
        <v>0</v>
      </c>
      <c r="G8" s="16">
        <f t="shared" ref="G8:G16" si="1">SUM(C8:F8)</f>
        <v>60345.483997598829</v>
      </c>
      <c r="H8" s="7">
        <f>'Rekr still'!F8+'Vit utstyr'!D7+'Forskerlinj-utd'!B10+('Tekn ass'!K8/1000)+'Forskerlinj-utd'!C10+'Rekr still'!F9</f>
        <v>48170.602334288378</v>
      </c>
      <c r="I8" s="7">
        <f>'FoF Resultat'!K7+'FoF Resultat'!K24+'FoF Resultat'!K41+'FoF Resultat'!K59</f>
        <v>11006.240000000002</v>
      </c>
      <c r="J8" s="15">
        <f>'FoF Særs kost'!F10</f>
        <v>13267.56</v>
      </c>
      <c r="K8" s="7">
        <f>'FoF midl satsn'!P8</f>
        <v>10290.214777708203</v>
      </c>
      <c r="L8" s="16">
        <f t="shared" ref="L8" si="2">SUM(H8:K8)</f>
        <v>82734.617111996573</v>
      </c>
      <c r="M8" s="7"/>
      <c r="N8" s="9"/>
      <c r="O8" s="7"/>
      <c r="P8" s="7"/>
      <c r="Q8" s="16">
        <f t="shared" ref="Q8" si="3">SUM(M8:P8)</f>
        <v>0</v>
      </c>
      <c r="R8" s="7">
        <f>'Lokal adm'!B4</f>
        <v>450</v>
      </c>
      <c r="S8" s="7"/>
      <c r="T8" s="7"/>
      <c r="U8" s="7"/>
      <c r="V8" s="16">
        <f t="shared" ref="V8" si="4">SUM(R8:U8)</f>
        <v>450</v>
      </c>
      <c r="W8" s="3"/>
    </row>
    <row r="9" spans="1:23" x14ac:dyDescent="0.2">
      <c r="A9" s="8"/>
      <c r="B9" s="16"/>
      <c r="C9" s="7"/>
      <c r="D9" s="7"/>
      <c r="E9" s="15"/>
      <c r="F9" s="9"/>
      <c r="G9" s="16"/>
      <c r="H9" s="7"/>
      <c r="I9" s="7"/>
      <c r="J9" s="7"/>
      <c r="K9" s="7"/>
      <c r="L9" s="16"/>
      <c r="M9" s="7"/>
      <c r="N9" s="9"/>
      <c r="O9" s="7"/>
      <c r="P9" s="7"/>
      <c r="Q9" s="16"/>
      <c r="R9" s="7"/>
      <c r="S9" s="7"/>
      <c r="T9" s="7"/>
      <c r="U9" s="7"/>
      <c r="V9" s="16"/>
      <c r="W9" s="3"/>
    </row>
    <row r="10" spans="1:23" x14ac:dyDescent="0.2">
      <c r="A10" s="8" t="s">
        <v>131</v>
      </c>
      <c r="B10" s="16">
        <f t="shared" si="0"/>
        <v>96446.916336684691</v>
      </c>
      <c r="C10" s="15">
        <f>Undervisningsregnskap!F8/1000</f>
        <v>41846.250387386528</v>
      </c>
      <c r="D10" s="15">
        <v>0</v>
      </c>
      <c r="E10" s="15">
        <f>'FU Særs kostn'!P11</f>
        <v>21185.603999999996</v>
      </c>
      <c r="F10" s="15">
        <v>0</v>
      </c>
      <c r="G10" s="16">
        <f t="shared" si="1"/>
        <v>63031.854387386527</v>
      </c>
      <c r="H10" s="15">
        <f>(('Tekn ass'!K10)/1000)+'Rekr still'!F11+'Vit utstyr'!D9+'Forskerlinj-utd'!B12</f>
        <v>17268.634902752561</v>
      </c>
      <c r="I10" s="15">
        <f>'FoF Resultat'!K9+'FoF Resultat'!K26+'FoF Resultat'!K43+'FoF Resultat'!K61</f>
        <v>10383.113333333335</v>
      </c>
      <c r="J10" s="15">
        <f>'FoF Særs kost'!F12</f>
        <v>434</v>
      </c>
      <c r="K10" s="7">
        <f>'FoF midl satsn'!P10</f>
        <v>5329.3137132122729</v>
      </c>
      <c r="L10" s="16">
        <f>SUM(H10:K10)</f>
        <v>33415.061949298171</v>
      </c>
      <c r="M10" s="15"/>
      <c r="N10" s="9"/>
      <c r="O10" s="15"/>
      <c r="P10" s="15"/>
      <c r="Q10" s="16">
        <f>SUM(M10:P10)</f>
        <v>0</v>
      </c>
      <c r="R10" s="15">
        <f>'Lokal adm'!B5</f>
        <v>0</v>
      </c>
      <c r="S10" s="7"/>
      <c r="T10" s="7"/>
      <c r="U10" s="15"/>
      <c r="V10" s="16">
        <f>SUM(R10:U10)</f>
        <v>0</v>
      </c>
      <c r="W10" s="3"/>
    </row>
    <row r="11" spans="1:23" x14ac:dyDescent="0.2">
      <c r="A11" s="8"/>
      <c r="B11" s="16"/>
      <c r="C11" s="7"/>
      <c r="D11" s="7"/>
      <c r="E11" s="15"/>
      <c r="F11" s="9"/>
      <c r="G11" s="16"/>
      <c r="H11" s="7"/>
      <c r="I11" s="7"/>
      <c r="J11" s="7"/>
      <c r="K11" s="7"/>
      <c r="L11" s="16"/>
      <c r="M11" s="7"/>
      <c r="N11" s="9"/>
      <c r="O11" s="7"/>
      <c r="P11" s="7"/>
      <c r="Q11" s="16"/>
      <c r="R11" s="7"/>
      <c r="S11" s="7"/>
      <c r="T11" s="7"/>
      <c r="U11" s="7"/>
      <c r="V11" s="16"/>
      <c r="W11" s="3"/>
    </row>
    <row r="12" spans="1:23" x14ac:dyDescent="0.2">
      <c r="A12" s="8" t="s">
        <v>145</v>
      </c>
      <c r="B12" s="16">
        <f t="shared" si="0"/>
        <v>242268.0838220545</v>
      </c>
      <c r="C12" s="7">
        <f>Undervisningsregnskap!F10/1000</f>
        <v>108423.76028593705</v>
      </c>
      <c r="D12" s="7">
        <v>0</v>
      </c>
      <c r="E12" s="15">
        <f>'FU Særs kostn'!P13</f>
        <v>6424.64</v>
      </c>
      <c r="F12" s="9">
        <v>0</v>
      </c>
      <c r="G12" s="16">
        <f t="shared" si="1"/>
        <v>114848.40028593705</v>
      </c>
      <c r="H12" s="7">
        <f>'Tekn ass'!K12/1000+'Rekr still'!F13+'Rekr still'!F14+'Vit utstyr'!D11+'Forskerlinj-utd'!B14</f>
        <v>58941.375360371276</v>
      </c>
      <c r="I12" s="7">
        <f>'FoF Resultat'!K11+'FoF Resultat'!K28+'FoF Resultat'!K45+'FoF Resultat'!K63</f>
        <v>34470.076666666668</v>
      </c>
      <c r="J12" s="15">
        <f>'FoF Særs kost'!F14</f>
        <v>1657.76</v>
      </c>
      <c r="K12" s="7">
        <f>'FoF midl satsn'!P12</f>
        <v>15759.471509079523</v>
      </c>
      <c r="L12" s="16">
        <f>SUM(H12:K12)</f>
        <v>110828.68353611746</v>
      </c>
      <c r="M12" s="7"/>
      <c r="N12" s="7"/>
      <c r="O12" s="7"/>
      <c r="P12" s="7">
        <f>Samfunsoppd!D11</f>
        <v>15491</v>
      </c>
      <c r="Q12" s="16">
        <f>SUM(M12:P12)</f>
        <v>15491</v>
      </c>
      <c r="R12" s="7">
        <f>'Lokal adm'!B6</f>
        <v>1100</v>
      </c>
      <c r="S12" s="7"/>
      <c r="T12" s="7"/>
      <c r="U12" s="7"/>
      <c r="V12" s="16">
        <f>SUM(R12:U12)</f>
        <v>1100</v>
      </c>
      <c r="W12" s="3"/>
    </row>
    <row r="13" spans="1:23" x14ac:dyDescent="0.2">
      <c r="A13" s="8"/>
      <c r="B13" s="16"/>
      <c r="C13" s="7"/>
      <c r="D13" s="7"/>
      <c r="E13" s="15"/>
      <c r="F13" s="9"/>
      <c r="G13" s="16"/>
      <c r="H13" s="7"/>
      <c r="I13" s="7"/>
      <c r="J13" s="7"/>
      <c r="K13" s="7"/>
      <c r="L13" s="16"/>
      <c r="M13" s="7"/>
      <c r="N13" s="7"/>
      <c r="O13" s="7"/>
      <c r="P13" s="7"/>
      <c r="Q13" s="16"/>
      <c r="R13" s="7"/>
      <c r="S13" s="7"/>
      <c r="T13" s="7"/>
      <c r="U13" s="7"/>
      <c r="V13" s="16"/>
      <c r="W13" s="3"/>
    </row>
    <row r="14" spans="1:23" x14ac:dyDescent="0.2">
      <c r="A14" s="8" t="s">
        <v>254</v>
      </c>
      <c r="B14" s="16">
        <f t="shared" si="0"/>
        <v>22564.716479999999</v>
      </c>
      <c r="C14" s="7"/>
      <c r="D14" s="7"/>
      <c r="E14" s="15"/>
      <c r="F14" s="9"/>
      <c r="G14" s="16">
        <f t="shared" si="1"/>
        <v>0</v>
      </c>
      <c r="H14" s="7">
        <f>'Rekr still'!F16</f>
        <v>1618</v>
      </c>
      <c r="I14" s="7">
        <f>'FoF Resultat'!K13+'FoF Resultat'!K30+'FoF Resultat'!K47+'FoF Resultat'!K65</f>
        <v>1720.71648</v>
      </c>
      <c r="J14" s="15">
        <f>'FoF Særs kost'!F16</f>
        <v>19226</v>
      </c>
      <c r="K14" s="7">
        <f>'FoF midl satsn'!P14</f>
        <v>0</v>
      </c>
      <c r="L14" s="16">
        <f>SUM(H14:K14)</f>
        <v>22564.716479999999</v>
      </c>
      <c r="M14" s="7"/>
      <c r="N14" s="7"/>
      <c r="O14" s="7"/>
      <c r="P14" s="7"/>
      <c r="Q14" s="16">
        <f>SUM(M14:P14)</f>
        <v>0</v>
      </c>
      <c r="R14" s="7"/>
      <c r="S14" s="7"/>
      <c r="T14" s="7"/>
      <c r="U14" s="7"/>
      <c r="V14" s="16">
        <f>SUM(R14:U14)</f>
        <v>0</v>
      </c>
      <c r="W14" s="3"/>
    </row>
    <row r="15" spans="1:23" x14ac:dyDescent="0.2">
      <c r="A15" s="8"/>
      <c r="B15" s="16"/>
      <c r="C15" s="7"/>
      <c r="D15" s="7"/>
      <c r="E15" s="15"/>
      <c r="F15" s="9"/>
      <c r="G15" s="16"/>
      <c r="H15" s="7"/>
      <c r="I15" s="7"/>
      <c r="J15" s="7"/>
      <c r="K15" s="7"/>
      <c r="L15" s="16"/>
      <c r="M15" s="7"/>
      <c r="N15" s="7"/>
      <c r="O15" s="7"/>
      <c r="P15" s="7"/>
      <c r="Q15" s="16"/>
      <c r="R15" s="7"/>
      <c r="S15" s="7"/>
      <c r="T15" s="7"/>
      <c r="U15" s="7"/>
      <c r="V15" s="16"/>
      <c r="W15" s="3"/>
    </row>
    <row r="16" spans="1:23" x14ac:dyDescent="0.2">
      <c r="A16" s="8" t="s">
        <v>255</v>
      </c>
      <c r="B16" s="16">
        <f t="shared" si="0"/>
        <v>16719.23904</v>
      </c>
      <c r="C16" s="7"/>
      <c r="D16" s="7"/>
      <c r="E16" s="15"/>
      <c r="F16" s="9"/>
      <c r="G16" s="16">
        <f t="shared" si="1"/>
        <v>0</v>
      </c>
      <c r="H16" s="7">
        <f>'Rekr still'!F18</f>
        <v>2312</v>
      </c>
      <c r="I16" s="7">
        <f>'FoF Resultat'!K15+'FoF Resultat'!K32+'FoF Resultat'!K49+'FoF Resultat'!K67</f>
        <v>2616.2390399999995</v>
      </c>
      <c r="J16" s="15">
        <f>'FoF Særs kost'!F18</f>
        <v>2617</v>
      </c>
      <c r="K16" s="7">
        <f>'FoF midl satsn'!P16</f>
        <v>9174</v>
      </c>
      <c r="L16" s="16">
        <f>SUM(H16:K16)</f>
        <v>16719.23904</v>
      </c>
      <c r="M16" s="7"/>
      <c r="N16" s="7"/>
      <c r="O16" s="7"/>
      <c r="P16" s="7"/>
      <c r="Q16" s="16">
        <f>SUM(M16:P16)</f>
        <v>0</v>
      </c>
      <c r="R16" s="7"/>
      <c r="S16" s="7"/>
      <c r="T16" s="7"/>
      <c r="U16" s="7"/>
      <c r="V16" s="16">
        <f>SUM(R16:U16)</f>
        <v>0</v>
      </c>
      <c r="W16" s="3"/>
    </row>
    <row r="17" spans="1:23" x14ac:dyDescent="0.2">
      <c r="A17" s="8"/>
      <c r="B17" s="16"/>
      <c r="C17" s="7"/>
      <c r="D17" s="7"/>
      <c r="E17" s="15"/>
      <c r="F17" s="9"/>
      <c r="G17" s="16"/>
      <c r="H17" s="7"/>
      <c r="I17" s="7"/>
      <c r="J17" s="7"/>
      <c r="K17" s="7"/>
      <c r="L17" s="16"/>
      <c r="M17" s="7"/>
      <c r="N17" s="9"/>
      <c r="O17" s="7"/>
      <c r="P17" s="7"/>
      <c r="Q17" s="16"/>
      <c r="R17" s="7"/>
      <c r="S17" s="7"/>
      <c r="T17" s="7"/>
      <c r="U17" s="7"/>
      <c r="V17" s="16"/>
      <c r="W17" s="3"/>
    </row>
    <row r="18" spans="1:23" x14ac:dyDescent="0.2">
      <c r="A18" s="11" t="s">
        <v>4</v>
      </c>
      <c r="B18" s="12">
        <f t="shared" ref="B18:V18" si="5">B8+B10+B12+B14+B16</f>
        <v>521529.05678833456</v>
      </c>
      <c r="C18" s="12">
        <f t="shared" si="5"/>
        <v>200176.39467092243</v>
      </c>
      <c r="D18" s="12">
        <f t="shared" si="5"/>
        <v>0</v>
      </c>
      <c r="E18" s="12">
        <f t="shared" si="5"/>
        <v>38049.343999999997</v>
      </c>
      <c r="F18" s="12">
        <f t="shared" si="5"/>
        <v>0</v>
      </c>
      <c r="G18" s="12">
        <f t="shared" si="5"/>
        <v>238225.73867092241</v>
      </c>
      <c r="H18" s="12">
        <f t="shared" si="5"/>
        <v>128310.61259741223</v>
      </c>
      <c r="I18" s="12">
        <f t="shared" si="5"/>
        <v>60196.385520000011</v>
      </c>
      <c r="J18" s="12">
        <f t="shared" si="5"/>
        <v>37202.32</v>
      </c>
      <c r="K18" s="12">
        <f t="shared" si="5"/>
        <v>40553</v>
      </c>
      <c r="L18" s="12">
        <f t="shared" si="5"/>
        <v>266262.31811741221</v>
      </c>
      <c r="M18" s="12">
        <f t="shared" si="5"/>
        <v>0</v>
      </c>
      <c r="N18" s="12">
        <f t="shared" si="5"/>
        <v>0</v>
      </c>
      <c r="O18" s="12">
        <f t="shared" si="5"/>
        <v>0</v>
      </c>
      <c r="P18" s="12">
        <f t="shared" si="5"/>
        <v>15491</v>
      </c>
      <c r="Q18" s="12">
        <f t="shared" si="5"/>
        <v>15491</v>
      </c>
      <c r="R18" s="12">
        <f t="shared" si="5"/>
        <v>1550</v>
      </c>
      <c r="S18" s="12">
        <f t="shared" si="5"/>
        <v>0</v>
      </c>
      <c r="T18" s="12">
        <f t="shared" si="5"/>
        <v>0</v>
      </c>
      <c r="U18" s="12">
        <f t="shared" si="5"/>
        <v>0</v>
      </c>
      <c r="V18" s="12">
        <f t="shared" si="5"/>
        <v>1550</v>
      </c>
      <c r="W18" s="13"/>
    </row>
    <row r="19" spans="1:23" x14ac:dyDescent="0.2">
      <c r="A19" s="11" t="s">
        <v>14</v>
      </c>
      <c r="B19" s="12">
        <f t="shared" ref="B19:V19" si="6">B6+B8+B10+B12+B14+B16</f>
        <v>714005.51278833451</v>
      </c>
      <c r="C19" s="12">
        <f t="shared" si="6"/>
        <v>200176.39467092243</v>
      </c>
      <c r="D19" s="12">
        <f t="shared" si="6"/>
        <v>0</v>
      </c>
      <c r="E19" s="12">
        <f t="shared" si="6"/>
        <v>38049.343999999997</v>
      </c>
      <c r="F19" s="12">
        <f t="shared" si="6"/>
        <v>0</v>
      </c>
      <c r="G19" s="12">
        <f t="shared" si="6"/>
        <v>238225.73867092241</v>
      </c>
      <c r="H19" s="12">
        <f t="shared" si="6"/>
        <v>143206.61259741223</v>
      </c>
      <c r="I19" s="12">
        <f t="shared" si="6"/>
        <v>67639.841520000002</v>
      </c>
      <c r="J19" s="12">
        <f t="shared" si="6"/>
        <v>37202.32</v>
      </c>
      <c r="K19" s="12">
        <f t="shared" si="6"/>
        <v>40553</v>
      </c>
      <c r="L19" s="12">
        <f t="shared" si="6"/>
        <v>288601.77411741222</v>
      </c>
      <c r="M19" s="12">
        <f t="shared" si="6"/>
        <v>20645</v>
      </c>
      <c r="N19" s="12">
        <f t="shared" si="6"/>
        <v>0</v>
      </c>
      <c r="O19" s="12">
        <f t="shared" si="6"/>
        <v>0</v>
      </c>
      <c r="P19" s="12">
        <f t="shared" si="6"/>
        <v>15491</v>
      </c>
      <c r="Q19" s="12">
        <f t="shared" si="6"/>
        <v>36136</v>
      </c>
      <c r="R19" s="12">
        <f t="shared" si="6"/>
        <v>151042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2">
        <f t="shared" si="6"/>
        <v>151042</v>
      </c>
    </row>
    <row r="22" spans="1:23" x14ac:dyDescent="0.2">
      <c r="B22" s="2"/>
      <c r="C22" s="285" t="s">
        <v>6</v>
      </c>
      <c r="D22" s="286"/>
      <c r="E22" s="286"/>
      <c r="F22" s="286"/>
      <c r="G22" s="287"/>
      <c r="H22" s="285" t="s">
        <v>11</v>
      </c>
      <c r="I22" s="286"/>
      <c r="J22" s="286"/>
      <c r="K22" s="286"/>
      <c r="L22" s="287"/>
      <c r="M22" s="285" t="s">
        <v>12</v>
      </c>
      <c r="N22" s="286"/>
      <c r="O22" s="286"/>
      <c r="P22" s="286"/>
      <c r="Q22" s="287"/>
      <c r="R22" s="285" t="s">
        <v>13</v>
      </c>
      <c r="S22" s="286"/>
      <c r="T22" s="286"/>
      <c r="U22" s="286"/>
      <c r="V22" s="287"/>
    </row>
    <row r="23" spans="1:23" x14ac:dyDescent="0.2">
      <c r="B23" s="4"/>
      <c r="C23" s="290" t="s">
        <v>7</v>
      </c>
      <c r="D23" s="292" t="s">
        <v>8</v>
      </c>
      <c r="E23" s="282" t="s">
        <v>9</v>
      </c>
      <c r="F23" s="282" t="s">
        <v>10</v>
      </c>
      <c r="G23" s="288"/>
      <c r="H23" s="292" t="s">
        <v>7</v>
      </c>
      <c r="I23" s="292" t="s">
        <v>8</v>
      </c>
      <c r="J23" s="282" t="s">
        <v>9</v>
      </c>
      <c r="K23" s="282" t="s">
        <v>10</v>
      </c>
      <c r="L23" s="288"/>
      <c r="M23" s="290" t="s">
        <v>7</v>
      </c>
      <c r="N23" s="292" t="s">
        <v>8</v>
      </c>
      <c r="O23" s="282" t="s">
        <v>9</v>
      </c>
      <c r="P23" s="282" t="s">
        <v>10</v>
      </c>
      <c r="Q23" s="288"/>
      <c r="R23" s="290" t="s">
        <v>7</v>
      </c>
      <c r="S23" s="292" t="s">
        <v>8</v>
      </c>
      <c r="T23" s="282" t="s">
        <v>9</v>
      </c>
      <c r="U23" s="282" t="s">
        <v>10</v>
      </c>
      <c r="V23" s="288"/>
    </row>
    <row r="24" spans="1:23" x14ac:dyDescent="0.2">
      <c r="B24" s="6"/>
      <c r="C24" s="291"/>
      <c r="D24" s="293"/>
      <c r="E24" s="284"/>
      <c r="F24" s="284"/>
      <c r="G24" s="289"/>
      <c r="H24" s="293"/>
      <c r="I24" s="293"/>
      <c r="J24" s="284"/>
      <c r="K24" s="284"/>
      <c r="L24" s="289"/>
      <c r="M24" s="291"/>
      <c r="N24" s="293"/>
      <c r="O24" s="284"/>
      <c r="P24" s="284"/>
      <c r="Q24" s="289"/>
      <c r="R24" s="291"/>
      <c r="S24" s="293"/>
      <c r="T24" s="284"/>
      <c r="U24" s="284"/>
      <c r="V24" s="289"/>
    </row>
    <row r="25" spans="1:23" ht="76.5" x14ac:dyDescent="0.2">
      <c r="B25" s="33"/>
      <c r="C25" s="97" t="s">
        <v>16</v>
      </c>
      <c r="D25" s="98"/>
      <c r="E25" s="99" t="s">
        <v>17</v>
      </c>
      <c r="F25" s="98"/>
      <c r="G25" s="52"/>
      <c r="H25" s="97" t="s">
        <v>22</v>
      </c>
      <c r="I25" s="97" t="s">
        <v>27</v>
      </c>
      <c r="J25" s="99" t="s">
        <v>30</v>
      </c>
      <c r="K25" s="97" t="s">
        <v>32</v>
      </c>
      <c r="L25" s="52"/>
      <c r="M25" s="100" t="s">
        <v>36</v>
      </c>
      <c r="N25" s="98"/>
      <c r="O25" s="103"/>
      <c r="P25" s="99" t="s">
        <v>39</v>
      </c>
      <c r="Q25" s="52"/>
      <c r="R25" s="101" t="s">
        <v>40</v>
      </c>
      <c r="S25" s="98"/>
      <c r="T25" s="98"/>
      <c r="U25" s="99" t="s">
        <v>43</v>
      </c>
      <c r="V25" s="52"/>
    </row>
    <row r="26" spans="1:23" ht="76.5" x14ac:dyDescent="0.2">
      <c r="B26" s="33"/>
      <c r="C26" s="98"/>
      <c r="D26" s="98"/>
      <c r="E26" s="99" t="s">
        <v>18</v>
      </c>
      <c r="F26" s="98"/>
      <c r="G26" s="52"/>
      <c r="H26" s="97" t="s">
        <v>23</v>
      </c>
      <c r="I26" s="97" t="s">
        <v>28</v>
      </c>
      <c r="J26" s="99" t="s">
        <v>31</v>
      </c>
      <c r="K26" s="97" t="s">
        <v>33</v>
      </c>
      <c r="L26" s="52"/>
      <c r="M26" s="100" t="s">
        <v>37</v>
      </c>
      <c r="N26" s="98"/>
      <c r="O26" s="98"/>
      <c r="P26" s="99" t="s">
        <v>117</v>
      </c>
      <c r="Q26" s="52"/>
      <c r="R26" s="97" t="s">
        <v>41</v>
      </c>
      <c r="S26" s="98"/>
      <c r="T26" s="98"/>
      <c r="U26" s="98"/>
      <c r="V26" s="52"/>
    </row>
    <row r="27" spans="1:23" ht="38.25" x14ac:dyDescent="0.2">
      <c r="B27" s="33"/>
      <c r="C27" s="98"/>
      <c r="D27" s="98"/>
      <c r="E27" s="99" t="s">
        <v>19</v>
      </c>
      <c r="F27" s="98"/>
      <c r="G27" s="52"/>
      <c r="H27" s="97" t="s">
        <v>24</v>
      </c>
      <c r="I27" s="97" t="s">
        <v>29</v>
      </c>
      <c r="J27" s="103"/>
      <c r="K27" s="98"/>
      <c r="L27" s="52"/>
      <c r="M27" s="100" t="s">
        <v>38</v>
      </c>
      <c r="N27" s="98"/>
      <c r="O27" s="98"/>
      <c r="P27" s="98"/>
      <c r="Q27" s="52"/>
      <c r="R27" s="171" t="s">
        <v>42</v>
      </c>
      <c r="S27" s="98"/>
      <c r="T27" s="98"/>
      <c r="U27" s="98"/>
      <c r="V27" s="52"/>
    </row>
    <row r="28" spans="1:23" ht="25.5" x14ac:dyDescent="0.2">
      <c r="B28" s="33"/>
      <c r="C28" s="98"/>
      <c r="D28" s="98"/>
      <c r="E28" s="99" t="s">
        <v>20</v>
      </c>
      <c r="F28" s="98"/>
      <c r="G28" s="52"/>
      <c r="H28" s="99" t="s">
        <v>25</v>
      </c>
      <c r="I28" s="98"/>
      <c r="J28" s="98"/>
      <c r="K28" s="97" t="s">
        <v>34</v>
      </c>
      <c r="L28" s="52"/>
      <c r="M28" s="98"/>
      <c r="N28" s="98"/>
      <c r="O28" s="98"/>
      <c r="P28" s="98"/>
      <c r="Q28" s="52"/>
      <c r="S28" s="98"/>
      <c r="T28" s="98"/>
      <c r="U28" s="98"/>
      <c r="V28" s="52"/>
    </row>
    <row r="29" spans="1:23" ht="38.25" x14ac:dyDescent="0.2">
      <c r="B29" s="33"/>
      <c r="C29" s="98"/>
      <c r="D29" s="98"/>
      <c r="E29" s="99" t="s">
        <v>21</v>
      </c>
      <c r="F29" s="98"/>
      <c r="G29" s="52"/>
      <c r="H29" s="99" t="s">
        <v>26</v>
      </c>
      <c r="I29" s="98"/>
      <c r="J29" s="98"/>
      <c r="K29" s="97" t="s">
        <v>35</v>
      </c>
      <c r="L29" s="52"/>
      <c r="M29" s="98"/>
      <c r="N29" s="98"/>
      <c r="O29" s="98"/>
      <c r="P29" s="98"/>
      <c r="Q29" s="52"/>
      <c r="R29" s="98"/>
      <c r="S29" s="98"/>
      <c r="T29" s="98"/>
      <c r="U29" s="98"/>
      <c r="V29" s="52"/>
    </row>
    <row r="30" spans="1:23" ht="25.5" x14ac:dyDescent="0.2">
      <c r="B30" s="33"/>
      <c r="C30" s="98"/>
      <c r="D30" s="98"/>
      <c r="E30" s="99" t="s">
        <v>118</v>
      </c>
      <c r="F30" s="98"/>
      <c r="G30" s="52"/>
      <c r="H30" s="102"/>
      <c r="I30" s="103"/>
      <c r="J30" s="103"/>
      <c r="K30" s="102"/>
      <c r="L30" s="52"/>
      <c r="M30" s="98"/>
      <c r="N30" s="98"/>
      <c r="O30" s="98"/>
      <c r="P30" s="98"/>
      <c r="Q30" s="52"/>
      <c r="R30" s="98"/>
      <c r="S30" s="98"/>
      <c r="T30" s="98"/>
      <c r="U30" s="98"/>
      <c r="V30" s="52"/>
    </row>
  </sheetData>
  <mergeCells count="48">
    <mergeCell ref="U23:U24"/>
    <mergeCell ref="V23:V24"/>
    <mergeCell ref="O23:O24"/>
    <mergeCell ref="P23:P24"/>
    <mergeCell ref="Q23:Q24"/>
    <mergeCell ref="R23:R24"/>
    <mergeCell ref="S23:S24"/>
    <mergeCell ref="T23:T24"/>
    <mergeCell ref="M23:M24"/>
    <mergeCell ref="N23:N24"/>
    <mergeCell ref="G23:G24"/>
    <mergeCell ref="H23:H24"/>
    <mergeCell ref="I23:I24"/>
    <mergeCell ref="J23:J24"/>
    <mergeCell ref="K23:K24"/>
    <mergeCell ref="L23:L24"/>
    <mergeCell ref="C23:C24"/>
    <mergeCell ref="D23:D24"/>
    <mergeCell ref="E23:E24"/>
    <mergeCell ref="F23:F24"/>
    <mergeCell ref="E4:E5"/>
    <mergeCell ref="F4:F5"/>
    <mergeCell ref="C22:G22"/>
    <mergeCell ref="M22:Q22"/>
    <mergeCell ref="R22:V22"/>
    <mergeCell ref="U4:U5"/>
    <mergeCell ref="H4:H5"/>
    <mergeCell ref="I4:I5"/>
    <mergeCell ref="J4:J5"/>
    <mergeCell ref="K4:K5"/>
    <mergeCell ref="O4:O5"/>
    <mergeCell ref="H22:L22"/>
    <mergeCell ref="R3:V3"/>
    <mergeCell ref="G4:G5"/>
    <mergeCell ref="L4:L5"/>
    <mergeCell ref="Q4:Q5"/>
    <mergeCell ref="V4:V5"/>
    <mergeCell ref="T4:T5"/>
    <mergeCell ref="R4:R5"/>
    <mergeCell ref="S4:S5"/>
    <mergeCell ref="M4:M5"/>
    <mergeCell ref="N4:N5"/>
    <mergeCell ref="C3:G3"/>
    <mergeCell ref="H3:L3"/>
    <mergeCell ref="M3:Q3"/>
    <mergeCell ref="P4:P5"/>
    <mergeCell ref="C4:C5"/>
    <mergeCell ref="D4:D5"/>
  </mergeCells>
  <phoneticPr fontId="5" type="noConversion"/>
  <hyperlinks>
    <hyperlink ref="R25" location="Internhusleie!A1" display="Internhusleie"/>
    <hyperlink ref="C25" location="Undervisningsregnskap!A1" display="Årsverk basert på pålagte undervisningsoppgaver"/>
    <hyperlink ref="H26" location="'Rekr still'!A1" display="Rekrutteringsstillinger"/>
    <hyperlink ref="H27" location="'Vit utstyr'!A1" display="Vitenskapelig utstyr"/>
    <hyperlink ref="I25" location="Dr.grader!A1" display="Doktorgrader"/>
    <hyperlink ref="I26" location="Publisering!A1" display="Vitenskapelig publisering"/>
    <hyperlink ref="M25:M27" location="'SO-Samfunsoppd'!A1" display="Regionaletiske komiteer"/>
    <hyperlink ref="P25" location="'SO-Samfunsoppd'!A1" display="Russlandssenteret"/>
    <hyperlink ref="J25:J26" location="'FoF Særs kost'!A1" display="Dyrestall"/>
    <hyperlink ref="E25:E29" location="'FU Særs kostn'!A1" display="Disseksjon"/>
    <hyperlink ref="H25" location="'Tekn ass'!A1" display="Teknisk assistanse/drift (I form av påslag på årsverk)"/>
    <hyperlink ref="I27" location="'Ekst midl'!A1" display="Eksterne midler (NFR, EU)"/>
    <hyperlink ref="H28" location="Forskerlinj!A1" display="Forskerlinjen"/>
    <hyperlink ref="K28" location="Småforsk!A1" display="Småforsk"/>
    <hyperlink ref="K25:K26" location="'FoF midl satsn'!A1" display="Tematiske områder"/>
    <hyperlink ref="K29" location="'FoF midl satsn'!A1" display="Startpakker"/>
    <hyperlink ref="R26" location="Fellesadm!A1" display="Felles administrasjon (inkl. all studieadministrasjon"/>
    <hyperlink ref="H29" location="Forskerlinj!A1" display="Forskerutdanning"/>
    <hyperlink ref="U25" location="'nye adm syst'!A1" display="Innføring av nye administrative system"/>
    <hyperlink ref="P26" location="'SO-Samfunsoppd'!A1" display="Farmakoterapi"/>
    <hyperlink ref="R27" location="'Lokal adm'!A1" display="Lokal administrasjon"/>
  </hyperlinks>
  <pageMargins left="0.78740157480314965" right="0.78740157480314965" top="0.98425196850393704" bottom="0.98425196850393704" header="0.51181102362204722" footer="0.51181102362204722"/>
  <pageSetup paperSize="9" scale="43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30" zoomScaleNormal="130" workbookViewId="0">
      <selection activeCell="D10" sqref="D10"/>
    </sheetView>
  </sheetViews>
  <sheetFormatPr baseColWidth="10" defaultColWidth="9.140625" defaultRowHeight="12.75" x14ac:dyDescent="0.2"/>
  <cols>
    <col min="1" max="1" width="38.85546875" style="35" bestFit="1" customWidth="1"/>
    <col min="2" max="5" width="9.140625" style="35"/>
    <col min="6" max="6" width="11.140625" style="35" bestFit="1" customWidth="1"/>
    <col min="7" max="16384" width="9.140625" style="35"/>
  </cols>
  <sheetData>
    <row r="1" spans="1:6" x14ac:dyDescent="0.2">
      <c r="B1" s="87" t="s">
        <v>65</v>
      </c>
    </row>
    <row r="3" spans="1:6" ht="51" x14ac:dyDescent="0.2">
      <c r="A3" s="5" t="s">
        <v>2</v>
      </c>
      <c r="B3" s="96" t="s">
        <v>60</v>
      </c>
      <c r="C3" s="52" t="s">
        <v>61</v>
      </c>
      <c r="D3" s="52" t="s">
        <v>122</v>
      </c>
      <c r="E3" s="52" t="s">
        <v>123</v>
      </c>
      <c r="F3" s="52" t="s">
        <v>47</v>
      </c>
    </row>
    <row r="4" spans="1:6" x14ac:dyDescent="0.2">
      <c r="A4" s="50" t="s">
        <v>5</v>
      </c>
      <c r="B4" s="7">
        <f>'U. timer'!F34</f>
        <v>0</v>
      </c>
      <c r="C4" s="31">
        <f>B4/$B$14</f>
        <v>0</v>
      </c>
      <c r="D4" s="31">
        <v>0</v>
      </c>
      <c r="E4" s="31">
        <f>C4-(D4*$B$15)</f>
        <v>0</v>
      </c>
      <c r="F4" s="7">
        <v>0</v>
      </c>
    </row>
    <row r="5" spans="1:6" x14ac:dyDescent="0.2">
      <c r="A5" s="50"/>
      <c r="B5" s="7"/>
      <c r="C5" s="31"/>
      <c r="D5" s="31"/>
      <c r="E5" s="31"/>
      <c r="F5" s="7"/>
    </row>
    <row r="6" spans="1:6" x14ac:dyDescent="0.2">
      <c r="A6" s="8" t="s">
        <v>3</v>
      </c>
      <c r="B6" s="7">
        <f>'U. timer'!F36</f>
        <v>42877.7</v>
      </c>
      <c r="C6" s="31">
        <f>B6/$B$14</f>
        <v>62.778477306002927</v>
      </c>
      <c r="D6" s="31">
        <f>0.2+0.7+0.5</f>
        <v>1.4</v>
      </c>
      <c r="E6" s="31">
        <f>C6-(D6*$B$15)</f>
        <v>62.078477306002924</v>
      </c>
      <c r="F6" s="7">
        <f>E6*$B$16*$B$17</f>
        <v>49906383.997598827</v>
      </c>
    </row>
    <row r="7" spans="1:6" x14ac:dyDescent="0.2">
      <c r="A7" s="8"/>
      <c r="B7" s="7"/>
      <c r="C7" s="31"/>
      <c r="D7" s="31"/>
      <c r="E7" s="31"/>
      <c r="F7" s="7"/>
    </row>
    <row r="8" spans="1:6" x14ac:dyDescent="0.2">
      <c r="A8" s="8" t="s">
        <v>167</v>
      </c>
      <c r="B8" s="7">
        <f>'U. timer'!F38</f>
        <v>37771.599999999999</v>
      </c>
      <c r="C8" s="31">
        <f>B8/$B$14</f>
        <v>55.302489019033672</v>
      </c>
      <c r="D8" s="31">
        <f>1.5+1+2+2</f>
        <v>6.5</v>
      </c>
      <c r="E8" s="31">
        <f>C8-(D8*$B$15)</f>
        <v>52.052489019033672</v>
      </c>
      <c r="F8" s="7">
        <f>E8*$B$16*$B$17</f>
        <v>41846250.387386531</v>
      </c>
    </row>
    <row r="9" spans="1:6" x14ac:dyDescent="0.2">
      <c r="A9" s="8"/>
      <c r="B9" s="7"/>
      <c r="C9" s="7"/>
      <c r="D9" s="7"/>
      <c r="E9" s="7"/>
      <c r="F9" s="7"/>
    </row>
    <row r="10" spans="1:6" x14ac:dyDescent="0.2">
      <c r="A10" s="8" t="s">
        <v>145</v>
      </c>
      <c r="B10" s="7">
        <f>'U. timer'!F40</f>
        <v>103350.3</v>
      </c>
      <c r="C10" s="31">
        <f>B10/$B$14</f>
        <v>151.3181551976574</v>
      </c>
      <c r="D10" s="31">
        <f>6.6+5+2.2+18+1.1</f>
        <v>32.9</v>
      </c>
      <c r="E10" s="31">
        <f>C10-(D10*$B$15)</f>
        <v>134.86815519765742</v>
      </c>
      <c r="F10" s="7">
        <f>E10*$B$16*$B$17</f>
        <v>108423760.28593706</v>
      </c>
    </row>
    <row r="11" spans="1:6" x14ac:dyDescent="0.2">
      <c r="A11" s="10"/>
      <c r="B11" s="7"/>
      <c r="C11" s="31"/>
      <c r="D11" s="31"/>
      <c r="E11" s="31"/>
      <c r="F11" s="7"/>
    </row>
    <row r="12" spans="1:6" x14ac:dyDescent="0.2">
      <c r="A12" s="47" t="s">
        <v>4</v>
      </c>
      <c r="B12" s="34">
        <f>B4+B6+B8+B10</f>
        <v>183999.59999999998</v>
      </c>
      <c r="C12" s="241">
        <f>C4+C6+C8+C10</f>
        <v>269.39912152269403</v>
      </c>
      <c r="D12" s="241">
        <f>D4+D6+D8+D10</f>
        <v>40.799999999999997</v>
      </c>
      <c r="E12" s="241">
        <f>E4+E6+E8+E10</f>
        <v>248.999121522694</v>
      </c>
      <c r="F12" s="34">
        <f>F4+F6+F8+F10</f>
        <v>200176394.6709224</v>
      </c>
    </row>
    <row r="14" spans="1:6" x14ac:dyDescent="0.2">
      <c r="A14" s="58" t="str">
        <f>Forside!A25</f>
        <v>Undervisning pr årsverk</v>
      </c>
      <c r="B14" s="79">
        <f>Forside!B25</f>
        <v>683</v>
      </c>
    </row>
    <row r="15" spans="1:6" x14ac:dyDescent="0.2">
      <c r="A15" s="58" t="str">
        <f>Forside!A26</f>
        <v>Faktor - trekk for eksterne årsverk</v>
      </c>
      <c r="B15" s="80">
        <f>Forside!B26</f>
        <v>0.5</v>
      </c>
    </row>
    <row r="16" spans="1:6" x14ac:dyDescent="0.2">
      <c r="A16" s="58" t="str">
        <f>Forside!A27</f>
        <v>Pris per årsverk</v>
      </c>
      <c r="B16" s="79">
        <f>Forside!B27</f>
        <v>893249</v>
      </c>
    </row>
    <row r="17" spans="1:2" x14ac:dyDescent="0.2">
      <c r="A17" s="58" t="str">
        <f>Forside!A28</f>
        <v>Faktor</v>
      </c>
      <c r="B17" s="80">
        <f>Forside!B28</f>
        <v>0.9</v>
      </c>
    </row>
    <row r="20" spans="1:2" x14ac:dyDescent="0.2">
      <c r="A20" s="35" t="s">
        <v>242</v>
      </c>
    </row>
    <row r="22" spans="1:2" x14ac:dyDescent="0.2">
      <c r="A22" s="49" t="s">
        <v>124</v>
      </c>
    </row>
  </sheetData>
  <phoneticPr fontId="5" type="noConversion"/>
  <hyperlinks>
    <hyperlink ref="B1" location="Hovedark!A1" display="Hovedark"/>
    <hyperlink ref="B3" location="'U. timer'!A1" display="Antall timer undervisning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zoomScale="140" zoomScaleNormal="140" workbookViewId="0">
      <pane xSplit="1" ySplit="1" topLeftCell="B2" activePane="bottomRight" state="frozen"/>
      <selection activeCell="A23" sqref="A23:B49"/>
      <selection pane="topRight" activeCell="A23" sqref="A23:B49"/>
      <selection pane="bottomLeft" activeCell="A23" sqref="A23:B49"/>
      <selection pane="bottomRight" activeCell="E43" sqref="E43"/>
    </sheetView>
  </sheetViews>
  <sheetFormatPr baseColWidth="10" defaultColWidth="9.140625" defaultRowHeight="12.75" x14ac:dyDescent="0.2"/>
  <cols>
    <col min="1" max="1" width="38.85546875" style="35" bestFit="1" customWidth="1"/>
    <col min="2" max="5" width="9.28515625" style="35" bestFit="1" customWidth="1"/>
    <col min="6" max="6" width="9.5703125" style="35" bestFit="1" customWidth="1"/>
    <col min="7" max="16384" width="9.140625" style="35"/>
  </cols>
  <sheetData>
    <row r="1" spans="1:16" x14ac:dyDescent="0.2">
      <c r="B1" s="87" t="s">
        <v>106</v>
      </c>
    </row>
    <row r="2" spans="1:16" ht="18.75" x14ac:dyDescent="0.3">
      <c r="C2" s="37" t="s">
        <v>159</v>
      </c>
      <c r="D2" s="17"/>
    </row>
    <row r="3" spans="1:16" x14ac:dyDescent="0.2">
      <c r="B3" s="296" t="s">
        <v>78</v>
      </c>
      <c r="C3" s="297"/>
      <c r="D3" s="297"/>
      <c r="E3" s="297"/>
      <c r="F3" s="297"/>
      <c r="G3" s="297"/>
      <c r="H3" s="297"/>
      <c r="I3" s="297"/>
      <c r="J3" s="297"/>
      <c r="K3" s="298"/>
      <c r="L3" s="294" t="s">
        <v>79</v>
      </c>
      <c r="M3" s="294"/>
      <c r="N3" s="294"/>
      <c r="O3" s="294"/>
      <c r="P3" s="294"/>
    </row>
    <row r="4" spans="1:16" x14ac:dyDescent="0.2">
      <c r="B4" s="299"/>
      <c r="C4" s="300"/>
      <c r="D4" s="300"/>
      <c r="E4" s="300"/>
      <c r="F4" s="300"/>
      <c r="G4" s="300"/>
      <c r="H4" s="300"/>
      <c r="I4" s="300"/>
      <c r="J4" s="300"/>
      <c r="K4" s="301"/>
      <c r="L4" s="294"/>
      <c r="M4" s="294"/>
      <c r="N4" s="294"/>
      <c r="O4" s="294"/>
      <c r="P4" s="294"/>
    </row>
    <row r="5" spans="1:16" ht="76.5" x14ac:dyDescent="0.2">
      <c r="A5" s="20" t="s">
        <v>2</v>
      </c>
      <c r="B5" s="52" t="s">
        <v>80</v>
      </c>
      <c r="C5" s="52" t="s">
        <v>81</v>
      </c>
      <c r="D5" s="52" t="s">
        <v>82</v>
      </c>
      <c r="E5" s="52" t="s">
        <v>83</v>
      </c>
      <c r="F5" s="52" t="s">
        <v>84</v>
      </c>
      <c r="G5" s="52" t="s">
        <v>85</v>
      </c>
      <c r="H5" s="52" t="s">
        <v>174</v>
      </c>
      <c r="I5" s="52" t="s">
        <v>175</v>
      </c>
      <c r="J5" s="52" t="s">
        <v>219</v>
      </c>
      <c r="K5" s="52" t="s">
        <v>176</v>
      </c>
      <c r="L5" s="52" t="s">
        <v>86</v>
      </c>
      <c r="M5" s="52" t="s">
        <v>87</v>
      </c>
      <c r="N5" s="52" t="s">
        <v>88</v>
      </c>
      <c r="O5" s="52" t="s">
        <v>89</v>
      </c>
      <c r="P5" s="52" t="s">
        <v>90</v>
      </c>
    </row>
    <row r="6" spans="1:16" x14ac:dyDescent="0.2">
      <c r="A6" s="50" t="s">
        <v>5</v>
      </c>
      <c r="B6" s="103"/>
      <c r="C6" s="103"/>
      <c r="D6" s="103"/>
      <c r="E6" s="150"/>
      <c r="F6" s="151"/>
      <c r="G6" s="103"/>
      <c r="H6" s="103"/>
      <c r="I6" s="103"/>
      <c r="J6" s="103"/>
      <c r="K6" s="103"/>
      <c r="L6" s="152"/>
      <c r="M6" s="152"/>
      <c r="N6" s="152"/>
      <c r="O6" s="155"/>
      <c r="P6" s="152"/>
    </row>
    <row r="7" spans="1:16" x14ac:dyDescent="0.2">
      <c r="A7" s="50"/>
      <c r="B7" s="103"/>
      <c r="C7" s="103"/>
      <c r="D7" s="103"/>
      <c r="E7" s="150"/>
      <c r="F7" s="151"/>
      <c r="G7" s="103"/>
      <c r="H7" s="103"/>
      <c r="I7" s="103"/>
      <c r="J7" s="103"/>
      <c r="K7" s="103"/>
      <c r="L7" s="32"/>
      <c r="M7" s="32"/>
      <c r="N7" s="32"/>
      <c r="O7" s="150"/>
      <c r="P7" s="32"/>
    </row>
    <row r="8" spans="1:16" x14ac:dyDescent="0.2">
      <c r="A8" s="8" t="s">
        <v>3</v>
      </c>
      <c r="B8" s="226">
        <v>5800.5</v>
      </c>
      <c r="C8" s="226">
        <v>8380</v>
      </c>
      <c r="D8" s="226">
        <v>437.5</v>
      </c>
      <c r="E8" s="227">
        <v>16382.5</v>
      </c>
      <c r="F8" s="228">
        <v>45</v>
      </c>
      <c r="G8" s="226">
        <v>35</v>
      </c>
      <c r="H8" s="226">
        <f>3201.5+1228</f>
        <v>4429.5</v>
      </c>
      <c r="I8" s="226">
        <v>488</v>
      </c>
      <c r="J8" s="226">
        <v>0</v>
      </c>
      <c r="K8" s="226">
        <v>0</v>
      </c>
      <c r="L8" s="227">
        <v>0</v>
      </c>
      <c r="M8" s="227">
        <v>320</v>
      </c>
      <c r="N8" s="227">
        <v>720</v>
      </c>
      <c r="O8" s="227">
        <v>338.2</v>
      </c>
      <c r="P8" s="227">
        <v>0</v>
      </c>
    </row>
    <row r="9" spans="1:16" x14ac:dyDescent="0.2">
      <c r="A9" s="8"/>
      <c r="B9" s="226"/>
      <c r="C9" s="226"/>
      <c r="D9" s="226"/>
      <c r="E9" s="227"/>
      <c r="F9" s="228"/>
      <c r="G9" s="226"/>
      <c r="H9" s="226"/>
      <c r="I9" s="226"/>
      <c r="J9" s="226"/>
      <c r="K9" s="226"/>
      <c r="L9" s="227"/>
      <c r="M9" s="227"/>
      <c r="N9" s="227"/>
      <c r="O9" s="227"/>
      <c r="P9" s="227"/>
    </row>
    <row r="10" spans="1:16" x14ac:dyDescent="0.2">
      <c r="A10" s="8" t="s">
        <v>167</v>
      </c>
      <c r="B10" s="229">
        <v>11465.5</v>
      </c>
      <c r="C10" s="229">
        <v>1664</v>
      </c>
      <c r="D10" s="229">
        <v>2377</v>
      </c>
      <c r="E10" s="229">
        <v>6278.8</v>
      </c>
      <c r="F10" s="229">
        <v>117</v>
      </c>
      <c r="G10" s="229">
        <v>135.5</v>
      </c>
      <c r="H10" s="229">
        <v>0</v>
      </c>
      <c r="I10" s="229">
        <v>0</v>
      </c>
      <c r="J10" s="229">
        <v>612</v>
      </c>
      <c r="K10" s="229">
        <v>706</v>
      </c>
      <c r="L10" s="229">
        <v>1500</v>
      </c>
      <c r="M10" s="229">
        <v>3600</v>
      </c>
      <c r="N10" s="229">
        <v>0</v>
      </c>
      <c r="O10" s="229">
        <v>127.3</v>
      </c>
      <c r="P10" s="229">
        <v>334</v>
      </c>
    </row>
    <row r="11" spans="1:16" x14ac:dyDescent="0.2">
      <c r="A11" s="8"/>
      <c r="B11" s="229"/>
      <c r="C11" s="229"/>
      <c r="D11" s="229"/>
      <c r="E11" s="227"/>
      <c r="F11" s="230"/>
      <c r="G11" s="229"/>
      <c r="H11" s="229"/>
      <c r="I11" s="229"/>
      <c r="J11" s="229"/>
      <c r="K11" s="229"/>
      <c r="L11" s="227"/>
      <c r="M11" s="227"/>
      <c r="N11" s="227"/>
      <c r="O11" s="227"/>
      <c r="P11" s="227"/>
    </row>
    <row r="12" spans="1:16" x14ac:dyDescent="0.2">
      <c r="A12" s="8" t="s">
        <v>145</v>
      </c>
      <c r="B12" s="226">
        <v>5787</v>
      </c>
      <c r="C12" s="226">
        <v>8231.2000000000007</v>
      </c>
      <c r="D12" s="226">
        <v>825</v>
      </c>
      <c r="E12" s="226">
        <v>67710</v>
      </c>
      <c r="F12" s="226">
        <v>13185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0</v>
      </c>
      <c r="N12" s="226">
        <v>0</v>
      </c>
      <c r="O12" s="226">
        <v>1434.1</v>
      </c>
      <c r="P12" s="226">
        <v>0</v>
      </c>
    </row>
    <row r="13" spans="1:16" x14ac:dyDescent="0.2">
      <c r="A13" s="10"/>
      <c r="B13" s="229"/>
      <c r="C13" s="229"/>
      <c r="D13" s="229"/>
      <c r="E13" s="229"/>
      <c r="F13" s="230"/>
      <c r="G13" s="229"/>
      <c r="H13" s="229"/>
      <c r="I13" s="229"/>
      <c r="J13" s="229"/>
      <c r="K13" s="229"/>
      <c r="L13" s="229"/>
      <c r="M13" s="229"/>
      <c r="N13" s="229"/>
      <c r="O13" s="229"/>
      <c r="P13" s="229"/>
    </row>
    <row r="14" spans="1:16" x14ac:dyDescent="0.2">
      <c r="A14" s="47" t="s">
        <v>4</v>
      </c>
      <c r="B14" s="231">
        <f t="shared" ref="B14:P14" si="0">B6+B8+B10+B12</f>
        <v>23053</v>
      </c>
      <c r="C14" s="231">
        <f t="shared" si="0"/>
        <v>18275.2</v>
      </c>
      <c r="D14" s="231">
        <f t="shared" si="0"/>
        <v>3639.5</v>
      </c>
      <c r="E14" s="231">
        <f t="shared" si="0"/>
        <v>90371.3</v>
      </c>
      <c r="F14" s="231">
        <f t="shared" si="0"/>
        <v>13347</v>
      </c>
      <c r="G14" s="231">
        <f t="shared" si="0"/>
        <v>170.5</v>
      </c>
      <c r="H14" s="231">
        <f t="shared" si="0"/>
        <v>4429.5</v>
      </c>
      <c r="I14" s="231">
        <f t="shared" si="0"/>
        <v>488</v>
      </c>
      <c r="J14" s="231">
        <f t="shared" si="0"/>
        <v>612</v>
      </c>
      <c r="K14" s="231">
        <f t="shared" si="0"/>
        <v>706</v>
      </c>
      <c r="L14" s="231">
        <f t="shared" si="0"/>
        <v>1500</v>
      </c>
      <c r="M14" s="231">
        <f t="shared" si="0"/>
        <v>3920</v>
      </c>
      <c r="N14" s="231">
        <f t="shared" si="0"/>
        <v>720</v>
      </c>
      <c r="O14" s="231">
        <f t="shared" si="0"/>
        <v>1899.6</v>
      </c>
      <c r="P14" s="231">
        <f t="shared" si="0"/>
        <v>334</v>
      </c>
    </row>
    <row r="16" spans="1:16" ht="15.75" x14ac:dyDescent="0.25">
      <c r="A16" s="49"/>
      <c r="D16" s="17"/>
    </row>
    <row r="17" spans="1:14" x14ac:dyDescent="0.2">
      <c r="B17" s="294" t="s">
        <v>91</v>
      </c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</row>
    <row r="18" spans="1:14" x14ac:dyDescent="0.2">
      <c r="B18" s="294" t="s">
        <v>92</v>
      </c>
      <c r="C18" s="294"/>
      <c r="D18" s="294"/>
      <c r="E18" s="294"/>
      <c r="F18" s="294" t="s">
        <v>97</v>
      </c>
      <c r="G18" s="294"/>
      <c r="H18" s="294"/>
      <c r="I18" s="294"/>
      <c r="J18" s="294"/>
      <c r="K18" s="294"/>
      <c r="L18" s="294"/>
      <c r="M18" s="294"/>
      <c r="N18" s="294"/>
    </row>
    <row r="19" spans="1:14" ht="63.75" x14ac:dyDescent="0.2">
      <c r="A19" s="167" t="s">
        <v>2</v>
      </c>
      <c r="B19" s="52" t="s">
        <v>93</v>
      </c>
      <c r="C19" s="52" t="s">
        <v>94</v>
      </c>
      <c r="D19" s="52" t="s">
        <v>95</v>
      </c>
      <c r="E19" s="52" t="s">
        <v>96</v>
      </c>
      <c r="F19" s="52" t="s">
        <v>98</v>
      </c>
      <c r="G19" s="52" t="s">
        <v>99</v>
      </c>
      <c r="H19" s="52" t="s">
        <v>100</v>
      </c>
      <c r="I19" s="52" t="s">
        <v>101</v>
      </c>
      <c r="J19" s="52" t="s">
        <v>102</v>
      </c>
      <c r="K19" s="52" t="s">
        <v>103</v>
      </c>
      <c r="L19" s="52" t="s">
        <v>104</v>
      </c>
      <c r="M19" s="52" t="s">
        <v>95</v>
      </c>
      <c r="N19" s="52" t="s">
        <v>105</v>
      </c>
    </row>
    <row r="20" spans="1:14" x14ac:dyDescent="0.2">
      <c r="A20" s="50" t="s">
        <v>5</v>
      </c>
      <c r="B20" s="152"/>
      <c r="C20" s="152"/>
      <c r="D20" s="103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4" x14ac:dyDescent="0.2">
      <c r="A21" s="50"/>
      <c r="B21" s="227"/>
      <c r="C21" s="227"/>
      <c r="D21" s="226"/>
      <c r="E21" s="227"/>
      <c r="F21" s="227"/>
      <c r="G21" s="227"/>
      <c r="H21" s="227"/>
      <c r="I21" s="227"/>
      <c r="J21" s="227"/>
      <c r="K21" s="227"/>
      <c r="L21" s="227"/>
      <c r="M21" s="227"/>
      <c r="N21" s="227"/>
    </row>
    <row r="22" spans="1:14" x14ac:dyDescent="0.2">
      <c r="A22" s="8" t="s">
        <v>3</v>
      </c>
      <c r="B22" s="227">
        <v>540</v>
      </c>
      <c r="C22" s="227">
        <v>1240</v>
      </c>
      <c r="D22" s="226">
        <v>117</v>
      </c>
      <c r="E22" s="227">
        <v>0</v>
      </c>
      <c r="F22" s="227">
        <v>1202</v>
      </c>
      <c r="G22" s="227">
        <v>0</v>
      </c>
      <c r="H22" s="227">
        <v>0</v>
      </c>
      <c r="I22" s="227">
        <v>0</v>
      </c>
      <c r="J22" s="227">
        <v>271.5</v>
      </c>
      <c r="K22" s="227">
        <v>240</v>
      </c>
      <c r="L22" s="227">
        <v>0</v>
      </c>
      <c r="M22" s="227">
        <v>0</v>
      </c>
      <c r="N22" s="227">
        <v>0</v>
      </c>
    </row>
    <row r="23" spans="1:14" x14ac:dyDescent="0.2">
      <c r="A23" s="8"/>
      <c r="B23" s="227"/>
      <c r="C23" s="227"/>
      <c r="D23" s="226"/>
      <c r="E23" s="227"/>
      <c r="F23" s="227"/>
      <c r="G23" s="227"/>
      <c r="H23" s="227"/>
      <c r="I23" s="227"/>
      <c r="J23" s="227"/>
      <c r="K23" s="227"/>
      <c r="L23" s="227"/>
      <c r="M23" s="227"/>
      <c r="N23" s="227"/>
    </row>
    <row r="24" spans="1:14" x14ac:dyDescent="0.2">
      <c r="A24" s="8" t="s">
        <v>167</v>
      </c>
      <c r="B24" s="227">
        <v>240</v>
      </c>
      <c r="C24" s="227">
        <v>480</v>
      </c>
      <c r="D24" s="227">
        <v>0</v>
      </c>
      <c r="E24" s="227">
        <v>210</v>
      </c>
      <c r="F24" s="227">
        <v>1120</v>
      </c>
      <c r="G24" s="227">
        <v>1377</v>
      </c>
      <c r="H24" s="227">
        <v>2244</v>
      </c>
      <c r="I24" s="227">
        <v>334</v>
      </c>
      <c r="J24" s="227">
        <v>0</v>
      </c>
      <c r="K24" s="227">
        <v>1320</v>
      </c>
      <c r="L24" s="227">
        <v>400</v>
      </c>
      <c r="M24" s="227">
        <v>130.5</v>
      </c>
      <c r="N24" s="227">
        <v>270</v>
      </c>
    </row>
    <row r="25" spans="1:14" x14ac:dyDescent="0.2">
      <c r="A25" s="8"/>
      <c r="B25" s="227"/>
      <c r="C25" s="227"/>
      <c r="D25" s="229"/>
      <c r="E25" s="227"/>
      <c r="F25" s="227"/>
      <c r="G25" s="227"/>
      <c r="H25" s="227"/>
      <c r="I25" s="227"/>
      <c r="J25" s="227"/>
      <c r="K25" s="227"/>
      <c r="L25" s="227"/>
      <c r="M25" s="227"/>
      <c r="N25" s="227"/>
    </row>
    <row r="26" spans="1:14" x14ac:dyDescent="0.2">
      <c r="A26" s="8" t="s">
        <v>145</v>
      </c>
      <c r="B26" s="229">
        <v>1020</v>
      </c>
      <c r="C26" s="229">
        <v>2920</v>
      </c>
      <c r="D26" s="229">
        <v>0</v>
      </c>
      <c r="E26" s="229">
        <v>2094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</row>
    <row r="27" spans="1:14" x14ac:dyDescent="0.2">
      <c r="A27" s="10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  <c r="N27" s="229"/>
    </row>
    <row r="28" spans="1:14" x14ac:dyDescent="0.2">
      <c r="A28" s="47" t="s">
        <v>4</v>
      </c>
      <c r="B28" s="231">
        <f t="shared" ref="B28:N28" si="1">B20+B22+B24+B26</f>
        <v>1800</v>
      </c>
      <c r="C28" s="231">
        <f t="shared" si="1"/>
        <v>4640</v>
      </c>
      <c r="D28" s="231">
        <f t="shared" si="1"/>
        <v>117</v>
      </c>
      <c r="E28" s="231">
        <f t="shared" si="1"/>
        <v>2304</v>
      </c>
      <c r="F28" s="231">
        <f t="shared" si="1"/>
        <v>2322</v>
      </c>
      <c r="G28" s="231">
        <f t="shared" si="1"/>
        <v>1377</v>
      </c>
      <c r="H28" s="231">
        <f t="shared" si="1"/>
        <v>2244</v>
      </c>
      <c r="I28" s="231">
        <f t="shared" si="1"/>
        <v>334</v>
      </c>
      <c r="J28" s="231">
        <f t="shared" si="1"/>
        <v>271.5</v>
      </c>
      <c r="K28" s="231">
        <f t="shared" si="1"/>
        <v>1560</v>
      </c>
      <c r="L28" s="231">
        <f t="shared" si="1"/>
        <v>400</v>
      </c>
      <c r="M28" s="231">
        <f t="shared" si="1"/>
        <v>130.5</v>
      </c>
      <c r="N28" s="231">
        <f t="shared" si="1"/>
        <v>270</v>
      </c>
    </row>
    <row r="31" spans="1:14" x14ac:dyDescent="0.2">
      <c r="B31" s="294" t="s">
        <v>153</v>
      </c>
      <c r="C31" s="294"/>
      <c r="D31" s="294"/>
      <c r="E31" s="294"/>
      <c r="F31" s="295" t="s">
        <v>1</v>
      </c>
    </row>
    <row r="32" spans="1:14" x14ac:dyDescent="0.2">
      <c r="B32" s="294"/>
      <c r="C32" s="294"/>
      <c r="D32" s="294"/>
      <c r="E32" s="294"/>
      <c r="F32" s="295"/>
    </row>
    <row r="33" spans="1:6" x14ac:dyDescent="0.2">
      <c r="A33" s="167" t="s">
        <v>2</v>
      </c>
      <c r="B33" s="52" t="s">
        <v>154</v>
      </c>
      <c r="C33" s="52" t="s">
        <v>155</v>
      </c>
      <c r="D33" s="52" t="s">
        <v>156</v>
      </c>
      <c r="E33" s="52" t="s">
        <v>157</v>
      </c>
      <c r="F33" s="295"/>
    </row>
    <row r="34" spans="1:6" x14ac:dyDescent="0.2">
      <c r="A34" s="50" t="s">
        <v>5</v>
      </c>
      <c r="B34" s="152"/>
      <c r="C34" s="152"/>
      <c r="D34" s="103"/>
      <c r="E34" s="152"/>
      <c r="F34" s="56"/>
    </row>
    <row r="35" spans="1:6" x14ac:dyDescent="0.2">
      <c r="A35" s="50"/>
      <c r="B35" s="152"/>
      <c r="C35" s="152"/>
      <c r="D35" s="103"/>
      <c r="E35" s="152"/>
      <c r="F35" s="56"/>
    </row>
    <row r="36" spans="1:6" x14ac:dyDescent="0.2">
      <c r="A36" s="8" t="s">
        <v>3</v>
      </c>
      <c r="B36" s="227">
        <v>189</v>
      </c>
      <c r="C36" s="227">
        <v>502</v>
      </c>
      <c r="D36" s="226">
        <v>72</v>
      </c>
      <c r="E36" s="227">
        <v>1128</v>
      </c>
      <c r="F36" s="232">
        <f>SUM(B8:P8)+SUM(B22:N22)+SUM(B36:E36)</f>
        <v>42877.7</v>
      </c>
    </row>
    <row r="37" spans="1:6" x14ac:dyDescent="0.2">
      <c r="A37" s="8"/>
      <c r="B37" s="227"/>
      <c r="C37" s="227"/>
      <c r="D37" s="226"/>
      <c r="E37" s="227"/>
      <c r="F37" s="232"/>
    </row>
    <row r="38" spans="1:6" x14ac:dyDescent="0.2">
      <c r="A38" s="8" t="s">
        <v>167</v>
      </c>
      <c r="B38" s="227">
        <v>486</v>
      </c>
      <c r="C38" s="227">
        <v>0</v>
      </c>
      <c r="D38" s="227">
        <v>243</v>
      </c>
      <c r="E38" s="227">
        <v>0</v>
      </c>
      <c r="F38" s="232">
        <f>SUM(B10:P10)+SUM(B24:N24)+SUM(B38:E38)</f>
        <v>37771.599999999999</v>
      </c>
    </row>
    <row r="39" spans="1:6" x14ac:dyDescent="0.2">
      <c r="A39" s="8"/>
      <c r="B39" s="227"/>
      <c r="C39" s="227"/>
      <c r="D39" s="229"/>
      <c r="E39" s="227"/>
      <c r="F39" s="232"/>
    </row>
    <row r="40" spans="1:6" x14ac:dyDescent="0.2">
      <c r="A40" s="8" t="s">
        <v>145</v>
      </c>
      <c r="B40" s="229">
        <v>135</v>
      </c>
      <c r="C40" s="229">
        <v>0</v>
      </c>
      <c r="D40" s="229">
        <v>9</v>
      </c>
      <c r="E40" s="229">
        <v>0</v>
      </c>
      <c r="F40" s="232">
        <f>SUM(B12:P12)+SUM(B26:N26)+SUM(B40:E40)</f>
        <v>103350.3</v>
      </c>
    </row>
    <row r="41" spans="1:6" x14ac:dyDescent="0.2">
      <c r="A41" s="156"/>
      <c r="B41" s="229"/>
      <c r="C41" s="229"/>
      <c r="D41" s="226"/>
      <c r="E41" s="229"/>
      <c r="F41" s="232"/>
    </row>
    <row r="42" spans="1:6" x14ac:dyDescent="0.2">
      <c r="A42" s="47" t="s">
        <v>4</v>
      </c>
      <c r="B42" s="231">
        <f>B34+B36+B38+B40</f>
        <v>810</v>
      </c>
      <c r="C42" s="231">
        <f>C34+C36+C38+C40</f>
        <v>502</v>
      </c>
      <c r="D42" s="231">
        <f>D34+D36+D38+D40</f>
        <v>324</v>
      </c>
      <c r="E42" s="231">
        <f>E34+E36+E38+E40</f>
        <v>1128</v>
      </c>
      <c r="F42" s="233">
        <f>F34+F36+F38+F40</f>
        <v>183999.59999999998</v>
      </c>
    </row>
  </sheetData>
  <mergeCells count="7">
    <mergeCell ref="B31:E32"/>
    <mergeCell ref="F31:F33"/>
    <mergeCell ref="L3:P4"/>
    <mergeCell ref="B18:E18"/>
    <mergeCell ref="F18:N18"/>
    <mergeCell ref="B17:N17"/>
    <mergeCell ref="B3:K4"/>
  </mergeCells>
  <phoneticPr fontId="5" type="noConversion"/>
  <hyperlinks>
    <hyperlink ref="B1" location="Undervisningsregnskap!A1" display="Hovedark"/>
  </hyperlinks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  <colBreaks count="1" manualBreakCount="1">
    <brk id="12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zoomScale="160" zoomScaleNormal="160" workbookViewId="0">
      <selection activeCell="J13" sqref="J13"/>
    </sheetView>
  </sheetViews>
  <sheetFormatPr baseColWidth="10" defaultColWidth="9.140625" defaultRowHeight="15.75" x14ac:dyDescent="0.25"/>
  <cols>
    <col min="1" max="1" width="38.85546875" style="17" bestFit="1" customWidth="1"/>
    <col min="2" max="2" width="9.140625" style="35"/>
    <col min="3" max="4" width="9.140625" style="35" customWidth="1"/>
    <col min="5" max="7" width="9.140625" style="35"/>
    <col min="8" max="8" width="8.5703125" style="35" customWidth="1"/>
    <col min="9" max="9" width="9.7109375" style="35" customWidth="1"/>
    <col min="10" max="11" width="9.140625" style="35"/>
    <col min="12" max="12" width="9.140625" style="3"/>
    <col min="13" max="15" width="9.140625" style="35" customWidth="1"/>
    <col min="16" max="16384" width="9.140625" style="35"/>
  </cols>
  <sheetData>
    <row r="1" spans="1:22" x14ac:dyDescent="0.25">
      <c r="B1" s="87" t="s">
        <v>65</v>
      </c>
    </row>
    <row r="2" spans="1:22" x14ac:dyDescent="0.25">
      <c r="B2" s="90" t="s">
        <v>158</v>
      </c>
      <c r="D2" s="85"/>
      <c r="L2" s="90"/>
    </row>
    <row r="3" spans="1:22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 x14ac:dyDescent="0.2">
      <c r="A4" s="3"/>
      <c r="B4" s="302" t="s">
        <v>17</v>
      </c>
      <c r="C4" s="305" t="s">
        <v>66</v>
      </c>
      <c r="D4" s="306"/>
      <c r="E4" s="307"/>
      <c r="F4" s="302" t="s">
        <v>68</v>
      </c>
      <c r="G4" s="312" t="s">
        <v>161</v>
      </c>
      <c r="H4" s="317" t="s">
        <v>69</v>
      </c>
      <c r="I4" s="318"/>
      <c r="J4" s="318"/>
      <c r="K4" s="318"/>
      <c r="L4" s="319"/>
      <c r="M4" s="312" t="s">
        <v>205</v>
      </c>
      <c r="N4" s="238"/>
      <c r="O4" s="312" t="s">
        <v>181</v>
      </c>
      <c r="P4" s="310" t="s">
        <v>1</v>
      </c>
    </row>
    <row r="5" spans="1:22" ht="12.75" x14ac:dyDescent="0.2">
      <c r="A5" s="3"/>
      <c r="B5" s="303"/>
      <c r="C5" s="308"/>
      <c r="D5" s="309"/>
      <c r="E5" s="285"/>
      <c r="F5" s="303"/>
      <c r="G5" s="313"/>
      <c r="H5" s="219"/>
      <c r="I5" s="256"/>
      <c r="J5" s="66"/>
      <c r="K5" s="66"/>
      <c r="L5" s="315" t="s">
        <v>1</v>
      </c>
      <c r="M5" s="313"/>
      <c r="N5" s="239"/>
      <c r="O5" s="313"/>
      <c r="P5" s="311"/>
    </row>
    <row r="6" spans="1:22" ht="76.5" x14ac:dyDescent="0.2">
      <c r="A6" s="20" t="s">
        <v>2</v>
      </c>
      <c r="B6" s="304"/>
      <c r="C6" s="68" t="s">
        <v>139</v>
      </c>
      <c r="D6" s="69" t="s">
        <v>67</v>
      </c>
      <c r="E6" s="220" t="s">
        <v>1</v>
      </c>
      <c r="F6" s="304"/>
      <c r="G6" s="314"/>
      <c r="H6" s="67" t="s">
        <v>140</v>
      </c>
      <c r="I6" s="67" t="s">
        <v>239</v>
      </c>
      <c r="J6" s="67" t="s">
        <v>114</v>
      </c>
      <c r="K6" s="67" t="s">
        <v>70</v>
      </c>
      <c r="L6" s="316"/>
      <c r="M6" s="314"/>
      <c r="N6" s="240" t="s">
        <v>235</v>
      </c>
      <c r="O6" s="314"/>
      <c r="P6" s="311"/>
    </row>
    <row r="7" spans="1:22" ht="12.75" x14ac:dyDescent="0.2">
      <c r="A7" s="50" t="s">
        <v>5</v>
      </c>
      <c r="B7" s="72"/>
      <c r="C7" s="63"/>
      <c r="D7" s="7"/>
      <c r="E7" s="221">
        <f>SUM(C7:D7)</f>
        <v>0</v>
      </c>
      <c r="F7" s="70">
        <v>0</v>
      </c>
      <c r="G7" s="70"/>
      <c r="H7" s="7"/>
      <c r="I7" s="7"/>
      <c r="J7" s="7"/>
      <c r="K7" s="7"/>
      <c r="L7" s="57">
        <f>SUM(H7:K7)</f>
        <v>0</v>
      </c>
      <c r="M7" s="70"/>
      <c r="N7" s="70"/>
      <c r="O7" s="70"/>
      <c r="P7" s="72">
        <f>SUM(B7:O7)</f>
        <v>0</v>
      </c>
    </row>
    <row r="8" spans="1:22" ht="12.75" x14ac:dyDescent="0.2">
      <c r="A8" s="50"/>
      <c r="B8" s="72"/>
      <c r="C8" s="63"/>
      <c r="D8" s="7"/>
      <c r="E8" s="221"/>
      <c r="F8" s="70"/>
      <c r="G8" s="70"/>
      <c r="H8" s="7"/>
      <c r="I8" s="7"/>
      <c r="J8" s="7"/>
      <c r="K8" s="7"/>
      <c r="L8" s="57"/>
      <c r="M8" s="70"/>
      <c r="N8" s="252"/>
      <c r="O8" s="70"/>
      <c r="P8" s="72"/>
    </row>
    <row r="9" spans="1:22" ht="12.75" x14ac:dyDescent="0.2">
      <c r="A9" s="8" t="s">
        <v>3</v>
      </c>
      <c r="B9" s="70">
        <f>1844*((1+Sheet1!B2)^Sheet1!B3)</f>
        <v>1880.88</v>
      </c>
      <c r="C9" s="74">
        <f>1260*((1+Sheet1!B2)^Sheet1!B3)</f>
        <v>1285.2</v>
      </c>
      <c r="D9" s="9">
        <f>2000*((1+Sheet1!B2)^Sheet1!B3)</f>
        <v>2040</v>
      </c>
      <c r="E9" s="221">
        <f t="shared" ref="E9:E13" si="0">SUM(C9:D9)</f>
        <v>3325.2</v>
      </c>
      <c r="F9" s="70">
        <f>401*((1+Sheet1!B2)^Sheet1!B3)</f>
        <v>409.02</v>
      </c>
      <c r="G9" s="70"/>
      <c r="H9" s="7"/>
      <c r="I9" s="7"/>
      <c r="J9" s="7"/>
      <c r="K9" s="7">
        <f>1200*((1+Sheet1!B2)^Sheet1!B3)</f>
        <v>1224</v>
      </c>
      <c r="L9" s="57">
        <f>SUM(H9:K9)</f>
        <v>1224</v>
      </c>
      <c r="M9" s="252">
        <f>1300+1300</f>
        <v>2600</v>
      </c>
      <c r="N9" s="252">
        <v>1000</v>
      </c>
      <c r="O9" s="70"/>
      <c r="P9" s="72">
        <f>B9+G9+E9+F9+L9+M9+O9+N9</f>
        <v>10439.1</v>
      </c>
    </row>
    <row r="10" spans="1:22" ht="12.75" x14ac:dyDescent="0.2">
      <c r="A10" s="8"/>
      <c r="B10" s="72"/>
      <c r="C10" s="74"/>
      <c r="D10" s="9"/>
      <c r="E10" s="221"/>
      <c r="F10" s="70"/>
      <c r="G10" s="70"/>
      <c r="H10" s="7"/>
      <c r="I10" s="7"/>
      <c r="J10" s="7"/>
      <c r="K10" s="7"/>
      <c r="L10" s="57"/>
      <c r="M10" s="70"/>
      <c r="N10" s="252"/>
      <c r="O10" s="70"/>
      <c r="P10" s="72"/>
    </row>
    <row r="11" spans="1:22" ht="12.75" x14ac:dyDescent="0.2">
      <c r="A11" s="8" t="s">
        <v>131</v>
      </c>
      <c r="B11" s="72"/>
      <c r="C11" s="63"/>
      <c r="D11" s="9"/>
      <c r="E11" s="221">
        <f t="shared" si="0"/>
        <v>0</v>
      </c>
      <c r="F11" s="70">
        <f>24*((1+Sheet1!B2)^Sheet1!B3)</f>
        <v>24.48</v>
      </c>
      <c r="G11" s="70"/>
      <c r="H11" s="7">
        <f>13261*((1+Sheet1!B2)^Sheet1!B3)</f>
        <v>13526.22</v>
      </c>
      <c r="I11" s="9">
        <v>150</v>
      </c>
      <c r="J11" s="7">
        <v>0</v>
      </c>
      <c r="K11" s="7">
        <v>0</v>
      </c>
      <c r="L11" s="57">
        <f>SUM(H11:K11)</f>
        <v>13676.22</v>
      </c>
      <c r="M11" s="70">
        <f>7*650</f>
        <v>4550</v>
      </c>
      <c r="N11" s="252">
        <v>1000</v>
      </c>
      <c r="O11" s="252">
        <f>880.08+118.602+936.222</f>
        <v>1934.904</v>
      </c>
      <c r="P11" s="72">
        <f>B11+G11+E11+F11+L11+M11+O11+N11</f>
        <v>21185.603999999996</v>
      </c>
    </row>
    <row r="12" spans="1:22" ht="12.75" x14ac:dyDescent="0.2">
      <c r="A12" s="8"/>
      <c r="B12" s="72"/>
      <c r="C12" s="74"/>
      <c r="D12" s="9"/>
      <c r="E12" s="221"/>
      <c r="F12" s="70"/>
      <c r="G12" s="70"/>
      <c r="H12" s="7"/>
      <c r="I12" s="7"/>
      <c r="J12" s="7"/>
      <c r="K12" s="7"/>
      <c r="L12" s="57"/>
      <c r="M12" s="70"/>
      <c r="N12" s="252"/>
      <c r="O12" s="70"/>
      <c r="P12" s="72"/>
    </row>
    <row r="13" spans="1:22" ht="12.75" x14ac:dyDescent="0.2">
      <c r="A13" s="8" t="s">
        <v>145</v>
      </c>
      <c r="B13" s="72"/>
      <c r="C13" s="63">
        <f>(3.5*450)*((1+Sheet1!B2)^Sheet1!B3)</f>
        <v>1606.5</v>
      </c>
      <c r="D13" s="7">
        <f>260*((1+Sheet1!B2)^Sheet1!B3)</f>
        <v>265.2</v>
      </c>
      <c r="E13" s="221">
        <f t="shared" si="0"/>
        <v>1871.7</v>
      </c>
      <c r="F13" s="70">
        <f>31*((1+Sheet1!B2)^Sheet1!B3)</f>
        <v>31.62</v>
      </c>
      <c r="G13" s="70">
        <f>1930*((1+Sheet1!B2)^Sheet1!B3)</f>
        <v>1968.6000000000001</v>
      </c>
      <c r="H13" s="7">
        <v>0</v>
      </c>
      <c r="I13" s="7"/>
      <c r="J13" s="250">
        <f>1086*((1+Sheet1!B2)^Sheet1!B3)+300</f>
        <v>1407.72</v>
      </c>
      <c r="K13" s="7">
        <v>0</v>
      </c>
      <c r="L13" s="57">
        <f>SUM(H13:K13)</f>
        <v>1407.72</v>
      </c>
      <c r="M13" s="70"/>
      <c r="N13" s="252">
        <f>1000+145</f>
        <v>1145</v>
      </c>
      <c r="O13" s="70"/>
      <c r="P13" s="72">
        <f>B13+G13+E13+F13+L13+M13+O13+N13</f>
        <v>6424.64</v>
      </c>
    </row>
    <row r="14" spans="1:22" ht="12.75" x14ac:dyDescent="0.2">
      <c r="A14" s="8"/>
      <c r="B14" s="72"/>
      <c r="C14" s="63"/>
      <c r="D14" s="7"/>
      <c r="E14" s="221"/>
      <c r="F14" s="70"/>
      <c r="G14" s="70"/>
      <c r="H14" s="7"/>
      <c r="I14" s="7"/>
      <c r="J14" s="7"/>
      <c r="K14" s="7"/>
      <c r="L14" s="57"/>
      <c r="M14" s="70"/>
      <c r="N14" s="252"/>
      <c r="O14" s="70"/>
      <c r="P14" s="72"/>
    </row>
    <row r="15" spans="1:22" ht="13.5" thickBot="1" x14ac:dyDescent="0.25">
      <c r="A15" s="47" t="s">
        <v>4</v>
      </c>
      <c r="B15" s="73">
        <f t="shared" ref="B15:P15" si="1">SUM(B7:B14)</f>
        <v>1880.88</v>
      </c>
      <c r="C15" s="64">
        <f t="shared" si="1"/>
        <v>2891.7</v>
      </c>
      <c r="D15" s="65">
        <f t="shared" si="1"/>
        <v>2305.1999999999998</v>
      </c>
      <c r="E15" s="222">
        <f t="shared" si="1"/>
        <v>5196.8999999999996</v>
      </c>
      <c r="F15" s="73">
        <f t="shared" si="1"/>
        <v>465.12</v>
      </c>
      <c r="G15" s="73">
        <f t="shared" si="1"/>
        <v>1968.6000000000001</v>
      </c>
      <c r="H15" s="65">
        <f t="shared" si="1"/>
        <v>13526.22</v>
      </c>
      <c r="I15" s="65">
        <f t="shared" si="1"/>
        <v>150</v>
      </c>
      <c r="J15" s="65">
        <f t="shared" si="1"/>
        <v>1407.72</v>
      </c>
      <c r="K15" s="65">
        <f t="shared" si="1"/>
        <v>1224</v>
      </c>
      <c r="L15" s="71">
        <f t="shared" si="1"/>
        <v>16307.939999999999</v>
      </c>
      <c r="M15" s="73">
        <f t="shared" si="1"/>
        <v>7150</v>
      </c>
      <c r="N15" s="73">
        <f t="shared" si="1"/>
        <v>3145</v>
      </c>
      <c r="O15" s="73">
        <f t="shared" si="1"/>
        <v>1934.904</v>
      </c>
      <c r="P15" s="73">
        <f t="shared" si="1"/>
        <v>38049.343999999997</v>
      </c>
    </row>
    <row r="16" spans="1:22" ht="12.75" x14ac:dyDescent="0.2">
      <c r="A16" s="35"/>
    </row>
    <row r="18" spans="1:1" x14ac:dyDescent="0.25">
      <c r="A18" s="95" t="s">
        <v>221</v>
      </c>
    </row>
    <row r="19" spans="1:1" x14ac:dyDescent="0.25">
      <c r="A19" s="95" t="s">
        <v>143</v>
      </c>
    </row>
    <row r="21" spans="1:1" x14ac:dyDescent="0.25">
      <c r="A21" s="95"/>
    </row>
  </sheetData>
  <mergeCells count="9">
    <mergeCell ref="B4:B6"/>
    <mergeCell ref="F4:F6"/>
    <mergeCell ref="C4:E5"/>
    <mergeCell ref="P4:P6"/>
    <mergeCell ref="G4:G6"/>
    <mergeCell ref="L5:L6"/>
    <mergeCell ref="M4:M6"/>
    <mergeCell ref="O4:O6"/>
    <mergeCell ref="H4:L4"/>
  </mergeCells>
  <phoneticPr fontId="5" type="noConversion"/>
  <hyperlinks>
    <hyperlink ref="B1" location="Hovedark!A1" display="Hovedark"/>
  </hyperlinks>
  <pageMargins left="0.78740157480314965" right="0.78740157480314965" top="0.98425196850393704" bottom="0.98425196850393704" header="0.51181102362204722" footer="0.51181102362204722"/>
  <pageSetup paperSize="9" scale="61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  <colBreaks count="1" manualBreakCount="1">
    <brk id="11" max="1048575" man="1"/>
  </colBreaks>
  <ignoredErrors>
    <ignoredError sqref="E9 L13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A21" sqref="A21"/>
    </sheetView>
  </sheetViews>
  <sheetFormatPr baseColWidth="10" defaultColWidth="9.140625" defaultRowHeight="12.75" x14ac:dyDescent="0.2"/>
  <cols>
    <col min="1" max="1" width="38.85546875" style="35" bestFit="1" customWidth="1"/>
    <col min="2" max="2" width="9.28515625" style="35" customWidth="1"/>
    <col min="3" max="3" width="6.42578125" style="35" customWidth="1"/>
    <col min="4" max="4" width="9.28515625" style="35" customWidth="1"/>
    <col min="5" max="5" width="6.42578125" style="35" customWidth="1"/>
    <col min="6" max="8" width="9.140625" style="35"/>
    <col min="9" max="11" width="10.140625" style="35" bestFit="1" customWidth="1"/>
    <col min="12" max="16384" width="9.140625" style="35"/>
  </cols>
  <sheetData>
    <row r="1" spans="1:11" ht="18.75" x14ac:dyDescent="0.3">
      <c r="A1" s="37" t="s">
        <v>142</v>
      </c>
    </row>
    <row r="3" spans="1:11" x14ac:dyDescent="0.2">
      <c r="A3" s="87" t="s">
        <v>65</v>
      </c>
      <c r="B3" s="294" t="s">
        <v>78</v>
      </c>
      <c r="C3" s="294"/>
      <c r="D3" s="294"/>
      <c r="E3" s="294"/>
      <c r="F3" s="320" t="s">
        <v>61</v>
      </c>
      <c r="G3" s="320" t="s">
        <v>122</v>
      </c>
      <c r="H3" s="320" t="s">
        <v>123</v>
      </c>
      <c r="I3" s="320" t="s">
        <v>126</v>
      </c>
      <c r="J3" s="320" t="s">
        <v>127</v>
      </c>
      <c r="K3" s="320" t="s">
        <v>149</v>
      </c>
    </row>
    <row r="4" spans="1:11" x14ac:dyDescent="0.2">
      <c r="B4" s="294" t="s">
        <v>107</v>
      </c>
      <c r="C4" s="294"/>
      <c r="D4" s="294" t="s">
        <v>108</v>
      </c>
      <c r="E4" s="294"/>
      <c r="F4" s="320"/>
      <c r="G4" s="320"/>
      <c r="H4" s="320"/>
      <c r="I4" s="320"/>
      <c r="J4" s="320"/>
      <c r="K4" s="320"/>
    </row>
    <row r="5" spans="1:11" x14ac:dyDescent="0.2">
      <c r="A5" s="5" t="s">
        <v>2</v>
      </c>
      <c r="B5" s="53" t="s">
        <v>109</v>
      </c>
      <c r="C5" s="53" t="s">
        <v>110</v>
      </c>
      <c r="D5" s="53" t="s">
        <v>109</v>
      </c>
      <c r="E5" s="53" t="s">
        <v>110</v>
      </c>
      <c r="F5" s="320"/>
      <c r="G5" s="320"/>
      <c r="H5" s="320"/>
      <c r="I5" s="320"/>
      <c r="J5" s="320"/>
      <c r="K5" s="320"/>
    </row>
    <row r="6" spans="1:11" x14ac:dyDescent="0.2">
      <c r="A6" s="15" t="s">
        <v>5</v>
      </c>
      <c r="B6" s="7"/>
      <c r="C6" s="7"/>
      <c r="D6" s="7"/>
      <c r="E6" s="7"/>
      <c r="F6" s="32"/>
      <c r="G6" s="32"/>
      <c r="H6" s="32"/>
      <c r="I6" s="84"/>
      <c r="J6" s="84"/>
      <c r="K6" s="32"/>
    </row>
    <row r="7" spans="1:11" x14ac:dyDescent="0.2">
      <c r="A7" s="15"/>
      <c r="B7" s="7"/>
      <c r="C7" s="7"/>
      <c r="D7" s="7"/>
      <c r="E7" s="7"/>
      <c r="F7" s="32"/>
      <c r="G7" s="32"/>
      <c r="H7" s="32"/>
      <c r="I7" s="84"/>
      <c r="J7" s="84"/>
      <c r="K7" s="32"/>
    </row>
    <row r="8" spans="1:11" x14ac:dyDescent="0.2">
      <c r="A8" s="23" t="s">
        <v>3</v>
      </c>
      <c r="B8" s="7">
        <f>28269+(1152.5/2)+488+635+620.5</f>
        <v>30588.75</v>
      </c>
      <c r="C8" s="54">
        <f>B8/(B8+D8)</f>
        <v>0.74897162165470976</v>
      </c>
      <c r="D8" s="7">
        <f>9055.5+(1152.5/2)+620.5</f>
        <v>10252.25</v>
      </c>
      <c r="E8" s="54">
        <f>D8/(B8+D8)</f>
        <v>0.25102837834529029</v>
      </c>
      <c r="F8" s="31">
        <f>Undervisningsregnskap!C6</f>
        <v>62.778477306002927</v>
      </c>
      <c r="G8" s="31">
        <f>Undervisningsregnskap!D6</f>
        <v>1.4</v>
      </c>
      <c r="H8" s="31">
        <f>F8-G8</f>
        <v>61.378477306002928</v>
      </c>
      <c r="I8" s="9">
        <f>H8*C8*$B$16*$B$17</f>
        <v>20531657.732110687</v>
      </c>
      <c r="J8" s="9">
        <f>H8*E8*$B$16*$B$18</f>
        <v>2752589.602177687</v>
      </c>
      <c r="K8" s="7">
        <f>I8+J8</f>
        <v>23284247.334288374</v>
      </c>
    </row>
    <row r="9" spans="1:11" x14ac:dyDescent="0.2">
      <c r="A9" s="23"/>
      <c r="B9" s="7"/>
      <c r="C9" s="54"/>
      <c r="D9" s="7"/>
      <c r="E9" s="54"/>
      <c r="F9" s="31"/>
      <c r="G9" s="31"/>
      <c r="H9" s="31"/>
      <c r="I9" s="9"/>
      <c r="J9" s="9"/>
      <c r="K9" s="7"/>
    </row>
    <row r="10" spans="1:11" x14ac:dyDescent="0.2">
      <c r="A10" s="8" t="s">
        <v>131</v>
      </c>
      <c r="B10" s="7">
        <v>0</v>
      </c>
      <c r="C10" s="54">
        <f t="shared" ref="C10:C14" si="0">B10/(B10+D10)</f>
        <v>0</v>
      </c>
      <c r="D10" s="7">
        <v>37316</v>
      </c>
      <c r="E10" s="54">
        <f t="shared" ref="E10:E14" si="1">D10/(B10+D10)</f>
        <v>1</v>
      </c>
      <c r="F10" s="31">
        <f>Undervisningsregnskap!C8</f>
        <v>55.302489019033672</v>
      </c>
      <c r="G10" s="31">
        <f>Undervisningsregnskap!D8</f>
        <v>6.5</v>
      </c>
      <c r="H10" s="31">
        <f t="shared" ref="H10:H12" si="2">F10-G10</f>
        <v>48.802489019033672</v>
      </c>
      <c r="I10" s="9">
        <f>H10*C10*$B$16*$B$17</f>
        <v>0</v>
      </c>
      <c r="J10" s="9">
        <f>H10*E10*$B$16*$B$18</f>
        <v>8718554.9027525615</v>
      </c>
      <c r="K10" s="7">
        <f t="shared" ref="K10:K12" si="3">I10+J10</f>
        <v>8718554.9027525615</v>
      </c>
    </row>
    <row r="11" spans="1:11" x14ac:dyDescent="0.2">
      <c r="A11" s="23"/>
      <c r="B11" s="7"/>
      <c r="C11" s="54"/>
      <c r="D11" s="7"/>
      <c r="E11" s="54"/>
      <c r="F11" s="31"/>
      <c r="G11" s="31"/>
      <c r="H11" s="31"/>
      <c r="I11" s="9"/>
      <c r="J11" s="9"/>
      <c r="K11" s="7"/>
    </row>
    <row r="12" spans="1:11" x14ac:dyDescent="0.2">
      <c r="A12" s="8" t="s">
        <v>145</v>
      </c>
      <c r="B12" s="7">
        <f>10553+1456+604+2702+483</f>
        <v>15798</v>
      </c>
      <c r="C12" s="54">
        <f t="shared" si="0"/>
        <v>0.15285995578111167</v>
      </c>
      <c r="D12" s="7">
        <f>6343-32+26183+863+1955+13720+31938.5+6581</f>
        <v>87551.5</v>
      </c>
      <c r="E12" s="54">
        <f t="shared" si="1"/>
        <v>0.84714004421888833</v>
      </c>
      <c r="F12" s="31">
        <f>Undervisningsregnskap!C10</f>
        <v>151.3181551976574</v>
      </c>
      <c r="G12" s="31">
        <f>Undervisningsregnskap!D10</f>
        <v>32.9</v>
      </c>
      <c r="H12" s="31">
        <f t="shared" si="2"/>
        <v>118.4181551976574</v>
      </c>
      <c r="I12" s="9">
        <f>H12*C12*$B$16*$B$17</f>
        <v>8084526.029901362</v>
      </c>
      <c r="J12" s="9">
        <f>H12*E12*$B$16*$B$18</f>
        <v>17921569.33046991</v>
      </c>
      <c r="K12" s="7">
        <f t="shared" si="3"/>
        <v>26006095.360371273</v>
      </c>
    </row>
    <row r="13" spans="1:11" x14ac:dyDescent="0.2">
      <c r="A13" s="23"/>
      <c r="B13" s="7"/>
      <c r="C13" s="54"/>
      <c r="D13" s="7"/>
      <c r="E13" s="54"/>
      <c r="F13" s="31"/>
      <c r="G13" s="31"/>
      <c r="H13" s="31"/>
      <c r="I13" s="9"/>
      <c r="J13" s="9"/>
      <c r="K13" s="7"/>
    </row>
    <row r="14" spans="1:11" x14ac:dyDescent="0.2">
      <c r="A14" s="11" t="s">
        <v>4</v>
      </c>
      <c r="B14" s="34">
        <f>B8+B10+B12</f>
        <v>46386.75</v>
      </c>
      <c r="C14" s="55">
        <f t="shared" si="0"/>
        <v>0.25556522769157025</v>
      </c>
      <c r="D14" s="34">
        <f>D8+D10+D12</f>
        <v>135119.75</v>
      </c>
      <c r="E14" s="55">
        <f t="shared" si="1"/>
        <v>0.74443477230842969</v>
      </c>
      <c r="F14" s="51">
        <f t="shared" ref="F14:K14" si="4">F8+F10+F12</f>
        <v>269.39912152269403</v>
      </c>
      <c r="G14" s="51">
        <f t="shared" si="4"/>
        <v>40.799999999999997</v>
      </c>
      <c r="H14" s="241">
        <f t="shared" si="4"/>
        <v>228.59912152269399</v>
      </c>
      <c r="I14" s="34">
        <f t="shared" si="4"/>
        <v>28616183.76201205</v>
      </c>
      <c r="J14" s="34">
        <f t="shared" si="4"/>
        <v>29392713.835400157</v>
      </c>
      <c r="K14" s="34">
        <f t="shared" si="4"/>
        <v>58008897.597412214</v>
      </c>
    </row>
    <row r="16" spans="1:11" x14ac:dyDescent="0.2">
      <c r="A16" s="81" t="str">
        <f>Forside!A27</f>
        <v>Pris per årsverk</v>
      </c>
      <c r="B16" s="81">
        <f>Forside!B27</f>
        <v>893249</v>
      </c>
    </row>
    <row r="17" spans="1:2" x14ac:dyDescent="0.2">
      <c r="A17" s="82" t="str">
        <f>Forside!E25</f>
        <v>Påslag for stillinger laboratoriefag</v>
      </c>
      <c r="B17" s="83">
        <f>Forside!G25</f>
        <v>0.5</v>
      </c>
    </row>
    <row r="18" spans="1:2" x14ac:dyDescent="0.2">
      <c r="A18" s="82" t="str">
        <f>Forside!E26</f>
        <v>Påslag for stillinger ikke laboratoriefag</v>
      </c>
      <c r="B18" s="83">
        <f>Forside!G26</f>
        <v>0.2</v>
      </c>
    </row>
    <row r="20" spans="1:2" x14ac:dyDescent="0.2">
      <c r="A20" s="35" t="s">
        <v>229</v>
      </c>
    </row>
    <row r="22" spans="1:2" x14ac:dyDescent="0.2">
      <c r="A22" s="49" t="s">
        <v>125</v>
      </c>
    </row>
    <row r="24" spans="1:2" x14ac:dyDescent="0.2">
      <c r="A24" s="35" t="s">
        <v>128</v>
      </c>
    </row>
  </sheetData>
  <mergeCells count="9">
    <mergeCell ref="B3:E3"/>
    <mergeCell ref="B4:C4"/>
    <mergeCell ref="D4:E4"/>
    <mergeCell ref="F3:F5"/>
    <mergeCell ref="K3:K5"/>
    <mergeCell ref="G3:G5"/>
    <mergeCell ref="H3:H5"/>
    <mergeCell ref="I3:I5"/>
    <mergeCell ref="J3:J5"/>
  </mergeCells>
  <phoneticPr fontId="5" type="noConversion"/>
  <hyperlinks>
    <hyperlink ref="A3" location="Hovedark!A1" display="Hovedark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zoomScale="180" zoomScaleNormal="180" workbookViewId="0">
      <selection activeCell="F18" sqref="F18"/>
    </sheetView>
  </sheetViews>
  <sheetFormatPr baseColWidth="10" defaultColWidth="11.42578125" defaultRowHeight="12.75" x14ac:dyDescent="0.2"/>
  <cols>
    <col min="1" max="1" width="38" style="35" customWidth="1"/>
    <col min="2" max="2" width="9.140625" style="35" customWidth="1"/>
    <col min="3" max="5" width="6.85546875" style="35" customWidth="1"/>
    <col min="6" max="6" width="13.85546875" style="35" customWidth="1"/>
    <col min="7" max="7" width="4.7109375" style="35" customWidth="1"/>
    <col min="8" max="16384" width="11.42578125" style="35"/>
  </cols>
  <sheetData>
    <row r="1" spans="1:11" ht="18.75" x14ac:dyDescent="0.3">
      <c r="A1" s="37" t="s">
        <v>204</v>
      </c>
      <c r="B1" s="88" t="s">
        <v>65</v>
      </c>
      <c r="C1" s="38"/>
      <c r="D1" s="38"/>
      <c r="E1" s="38"/>
      <c r="F1" s="38"/>
      <c r="G1" s="38"/>
      <c r="H1" s="39"/>
      <c r="I1" s="40"/>
      <c r="J1" s="40"/>
      <c r="K1" s="41"/>
    </row>
    <row r="2" spans="1:11" x14ac:dyDescent="0.2">
      <c r="A2" s="18"/>
      <c r="B2" s="321" t="s">
        <v>56</v>
      </c>
      <c r="C2" s="323"/>
      <c r="D2" s="323"/>
      <c r="E2" s="323"/>
      <c r="F2" s="322"/>
      <c r="H2" s="41"/>
      <c r="I2" s="41"/>
      <c r="J2" s="41"/>
      <c r="K2" s="41"/>
    </row>
    <row r="3" spans="1:11" x14ac:dyDescent="0.2">
      <c r="A3" s="42"/>
      <c r="B3" s="321" t="s">
        <v>57</v>
      </c>
      <c r="C3" s="322"/>
      <c r="D3" s="321" t="s">
        <v>151</v>
      </c>
      <c r="E3" s="322"/>
      <c r="F3" s="30" t="s">
        <v>1</v>
      </c>
      <c r="H3" s="41"/>
      <c r="I3" s="41"/>
      <c r="J3" s="41"/>
      <c r="K3" s="41"/>
    </row>
    <row r="4" spans="1:11" x14ac:dyDescent="0.2">
      <c r="A4" s="11" t="s">
        <v>46</v>
      </c>
      <c r="B4" s="168" t="s">
        <v>150</v>
      </c>
      <c r="C4" s="168" t="s">
        <v>137</v>
      </c>
      <c r="D4" s="168" t="s">
        <v>150</v>
      </c>
      <c r="E4" s="168" t="s">
        <v>137</v>
      </c>
      <c r="F4" s="43"/>
      <c r="H4" s="41"/>
      <c r="I4" s="41"/>
      <c r="J4" s="41"/>
      <c r="K4" s="41"/>
    </row>
    <row r="5" spans="1:11" x14ac:dyDescent="0.2">
      <c r="A5" s="5" t="s">
        <v>2</v>
      </c>
      <c r="B5" s="7"/>
      <c r="C5" s="7"/>
      <c r="D5" s="7"/>
      <c r="E5" s="7"/>
      <c r="F5" s="7"/>
      <c r="H5" s="41"/>
      <c r="I5" s="41"/>
      <c r="J5" s="41"/>
      <c r="K5" s="41"/>
    </row>
    <row r="6" spans="1:11" x14ac:dyDescent="0.2">
      <c r="A6" s="10" t="s">
        <v>260</v>
      </c>
      <c r="B6" s="9">
        <v>3</v>
      </c>
      <c r="C6" s="75">
        <v>1004</v>
      </c>
      <c r="D6" s="7"/>
      <c r="E6" s="7"/>
      <c r="F6" s="9">
        <f>B6*C6*0.5</f>
        <v>1506</v>
      </c>
      <c r="H6" s="41"/>
      <c r="I6" s="41"/>
      <c r="J6" s="41"/>
      <c r="K6" s="41"/>
    </row>
    <row r="7" spans="1:11" x14ac:dyDescent="0.2">
      <c r="A7" s="10"/>
      <c r="B7" s="9"/>
      <c r="C7" s="75"/>
      <c r="D7" s="7"/>
      <c r="E7" s="7"/>
      <c r="F7" s="9"/>
      <c r="H7" s="41"/>
      <c r="I7" s="41"/>
      <c r="J7" s="41"/>
      <c r="K7" s="41"/>
    </row>
    <row r="8" spans="1:11" x14ac:dyDescent="0.2">
      <c r="A8" s="8" t="s">
        <v>3</v>
      </c>
      <c r="B8" s="169">
        <v>33</v>
      </c>
      <c r="C8" s="9">
        <v>1004</v>
      </c>
      <c r="D8" s="153">
        <v>6</v>
      </c>
      <c r="E8" s="9">
        <v>1004</v>
      </c>
      <c r="F8" s="9">
        <f>((B8*C8)*B23)+((D8*E8)*C23)</f>
        <v>18433.440000000002</v>
      </c>
      <c r="H8" s="41"/>
      <c r="I8" s="41"/>
      <c r="J8" s="41"/>
      <c r="K8" s="41"/>
    </row>
    <row r="9" spans="1:11" x14ac:dyDescent="0.2">
      <c r="A9" s="8" t="s">
        <v>230</v>
      </c>
      <c r="B9" s="169">
        <v>2</v>
      </c>
      <c r="C9" s="9">
        <v>1100</v>
      </c>
      <c r="D9" s="153"/>
      <c r="E9" s="9"/>
      <c r="F9" s="9">
        <f>B9*C9</f>
        <v>2200</v>
      </c>
      <c r="H9" s="41"/>
      <c r="I9" s="41"/>
      <c r="J9" s="41"/>
      <c r="K9" s="41"/>
    </row>
    <row r="10" spans="1:11" x14ac:dyDescent="0.2">
      <c r="A10" s="8"/>
      <c r="B10" s="169"/>
      <c r="C10" s="9"/>
      <c r="D10" s="153"/>
      <c r="E10" s="9"/>
      <c r="F10" s="9"/>
      <c r="H10" s="41"/>
      <c r="I10" s="41"/>
      <c r="J10" s="41"/>
      <c r="K10" s="41"/>
    </row>
    <row r="11" spans="1:11" x14ac:dyDescent="0.2">
      <c r="A11" s="8" t="s">
        <v>131</v>
      </c>
      <c r="B11" s="169">
        <v>12</v>
      </c>
      <c r="C11" s="9">
        <v>1004</v>
      </c>
      <c r="D11" s="153">
        <v>4</v>
      </c>
      <c r="E11" s="9">
        <v>1004</v>
      </c>
      <c r="F11" s="9">
        <f>((B11*C11)*B25)+((D11*E11)*C25)</f>
        <v>7550.08</v>
      </c>
      <c r="H11" s="41"/>
      <c r="I11" s="41"/>
      <c r="J11" s="41"/>
      <c r="K11" s="41"/>
    </row>
    <row r="12" spans="1:11" x14ac:dyDescent="0.2">
      <c r="A12" s="8"/>
      <c r="B12" s="169"/>
      <c r="C12" s="9"/>
      <c r="D12" s="153"/>
      <c r="E12" s="9"/>
      <c r="F12" s="9"/>
      <c r="H12" s="41"/>
      <c r="I12" s="41"/>
      <c r="J12" s="41"/>
      <c r="K12" s="41"/>
    </row>
    <row r="13" spans="1:11" x14ac:dyDescent="0.2">
      <c r="A13" s="8" t="s">
        <v>145</v>
      </c>
      <c r="B13" s="169">
        <v>74</v>
      </c>
      <c r="C13" s="9">
        <v>1004</v>
      </c>
      <c r="D13" s="153">
        <v>9</v>
      </c>
      <c r="E13" s="9">
        <v>1004</v>
      </c>
      <c r="F13" s="9">
        <f>((B13*C13)*B24)+((D13*E13)*C24)</f>
        <v>24106.04</v>
      </c>
    </row>
    <row r="14" spans="1:11" x14ac:dyDescent="0.2">
      <c r="A14" s="8" t="s">
        <v>231</v>
      </c>
      <c r="B14" s="169">
        <v>2</v>
      </c>
      <c r="C14" s="9">
        <v>1100</v>
      </c>
      <c r="D14" s="153"/>
      <c r="E14" s="9"/>
      <c r="F14" s="9">
        <f>B14*C14</f>
        <v>2200</v>
      </c>
    </row>
    <row r="15" spans="1:11" x14ac:dyDescent="0.2">
      <c r="A15" s="8"/>
      <c r="B15" s="169"/>
      <c r="C15" s="9"/>
      <c r="D15" s="153"/>
      <c r="E15" s="9"/>
      <c r="F15" s="9"/>
    </row>
    <row r="16" spans="1:11" x14ac:dyDescent="0.2">
      <c r="A16" s="8" t="s">
        <v>254</v>
      </c>
      <c r="B16" s="169">
        <v>2</v>
      </c>
      <c r="C16" s="9">
        <v>809</v>
      </c>
      <c r="D16" s="153"/>
      <c r="E16" s="9"/>
      <c r="F16" s="9">
        <f>(B16*C16)+(D16*E16)</f>
        <v>1618</v>
      </c>
    </row>
    <row r="17" spans="1:6" x14ac:dyDescent="0.2">
      <c r="A17" s="8"/>
      <c r="B17" s="169"/>
      <c r="C17" s="9"/>
      <c r="D17" s="153"/>
      <c r="E17" s="9"/>
      <c r="F17" s="9"/>
    </row>
    <row r="18" spans="1:6" x14ac:dyDescent="0.2">
      <c r="A18" s="8" t="s">
        <v>255</v>
      </c>
      <c r="B18" s="169"/>
      <c r="C18" s="9"/>
      <c r="D18" s="153">
        <v>2</v>
      </c>
      <c r="E18" s="9">
        <v>1156</v>
      </c>
      <c r="F18" s="9">
        <f>(B18*C18)+(D18*E18)</f>
        <v>2312</v>
      </c>
    </row>
    <row r="19" spans="1:6" x14ac:dyDescent="0.2">
      <c r="A19" s="8"/>
      <c r="B19" s="169"/>
      <c r="C19" s="9"/>
      <c r="D19" s="153"/>
      <c r="E19" s="9"/>
      <c r="F19" s="9"/>
    </row>
    <row r="20" spans="1:6" x14ac:dyDescent="0.2">
      <c r="A20" s="218" t="s">
        <v>4</v>
      </c>
      <c r="B20" s="215">
        <f>B6+B8+B11+B13</f>
        <v>122</v>
      </c>
      <c r="C20" s="12"/>
      <c r="D20" s="216">
        <f>D6+D8+D11+D13</f>
        <v>19</v>
      </c>
      <c r="E20" s="12"/>
      <c r="F20" s="12">
        <f>SUM(F8:F14)</f>
        <v>54489.560000000005</v>
      </c>
    </row>
    <row r="21" spans="1:6" x14ac:dyDescent="0.2">
      <c r="A21" s="22"/>
      <c r="B21" s="13"/>
      <c r="C21" s="13"/>
      <c r="D21" s="13"/>
      <c r="E21" s="13"/>
      <c r="F21" s="13"/>
    </row>
    <row r="22" spans="1:6" x14ac:dyDescent="0.2">
      <c r="A22" s="170" t="s">
        <v>152</v>
      </c>
      <c r="B22" s="170" t="s">
        <v>170</v>
      </c>
      <c r="C22" s="170" t="s">
        <v>151</v>
      </c>
    </row>
    <row r="23" spans="1:6" x14ac:dyDescent="0.2">
      <c r="A23" s="234" t="s">
        <v>163</v>
      </c>
      <c r="B23" s="195">
        <f>Forside!B32</f>
        <v>0.46</v>
      </c>
      <c r="C23" s="195">
        <f>Forside!C32</f>
        <v>0.53</v>
      </c>
    </row>
    <row r="24" spans="1:6" x14ac:dyDescent="0.2">
      <c r="A24" s="234" t="s">
        <v>164</v>
      </c>
      <c r="B24" s="195">
        <f>Forside!B33</f>
        <v>0.26</v>
      </c>
      <c r="C24" s="195">
        <f>Forside!C33</f>
        <v>0.53</v>
      </c>
    </row>
    <row r="25" spans="1:6" x14ac:dyDescent="0.2">
      <c r="A25" s="234" t="s">
        <v>165</v>
      </c>
      <c r="B25" s="195">
        <f>Forside!B34</f>
        <v>0.45</v>
      </c>
      <c r="C25" s="195">
        <f>Forside!C34</f>
        <v>0.53</v>
      </c>
    </row>
  </sheetData>
  <mergeCells count="3">
    <mergeCell ref="B3:C3"/>
    <mergeCell ref="D3:E3"/>
    <mergeCell ref="B2:F2"/>
  </mergeCells>
  <phoneticPr fontId="5" type="noConversion"/>
  <hyperlinks>
    <hyperlink ref="B1" location="Hovedark!A1" display="Hovedark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zoomScale="130" zoomScaleNormal="130" workbookViewId="0">
      <selection activeCell="A17" sqref="A17"/>
    </sheetView>
  </sheetViews>
  <sheetFormatPr baseColWidth="10" defaultColWidth="9.140625" defaultRowHeight="12.75" x14ac:dyDescent="0.2"/>
  <cols>
    <col min="1" max="1" width="44.5703125" style="24" customWidth="1"/>
    <col min="2" max="2" width="10.28515625" style="24" customWidth="1"/>
    <col min="3" max="3" width="9.7109375" style="24" customWidth="1"/>
    <col min="4" max="4" width="10.140625" style="24" customWidth="1"/>
    <col min="5" max="16384" width="9.140625" style="24"/>
  </cols>
  <sheetData>
    <row r="1" spans="1:6" ht="15.75" x14ac:dyDescent="0.25">
      <c r="A1" s="26" t="s">
        <v>179</v>
      </c>
      <c r="B1" s="89" t="s">
        <v>65</v>
      </c>
    </row>
    <row r="3" spans="1:6" x14ac:dyDescent="0.2">
      <c r="A3" s="324" t="s">
        <v>2</v>
      </c>
      <c r="B3" s="294" t="s">
        <v>50</v>
      </c>
      <c r="C3" s="294" t="s">
        <v>51</v>
      </c>
      <c r="D3" s="294" t="s">
        <v>52</v>
      </c>
    </row>
    <row r="4" spans="1:6" x14ac:dyDescent="0.2">
      <c r="A4" s="325"/>
      <c r="B4" s="294"/>
      <c r="C4" s="294"/>
      <c r="D4" s="294"/>
    </row>
    <row r="5" spans="1:6" x14ac:dyDescent="0.2">
      <c r="A5" s="147" t="s">
        <v>206</v>
      </c>
      <c r="B5" s="172"/>
      <c r="C5" s="172"/>
      <c r="D5" s="9">
        <v>8875</v>
      </c>
    </row>
    <row r="6" spans="1:6" x14ac:dyDescent="0.2">
      <c r="A6" s="48"/>
      <c r="B6" s="173"/>
      <c r="C6" s="174"/>
      <c r="D6" s="9"/>
    </row>
    <row r="7" spans="1:6" x14ac:dyDescent="0.2">
      <c r="A7" s="8" t="s">
        <v>3</v>
      </c>
      <c r="B7" s="175">
        <f>12.8+41.9+0.6</f>
        <v>55.300000000000004</v>
      </c>
      <c r="C7" s="175">
        <f>1.1*5</f>
        <v>5.5</v>
      </c>
      <c r="D7" s="9">
        <f>(B7*$C$18)+(C7*$C$19)</f>
        <v>3252.9150000000004</v>
      </c>
    </row>
    <row r="8" spans="1:6" x14ac:dyDescent="0.2">
      <c r="A8" s="8"/>
      <c r="B8" s="175"/>
      <c r="C8" s="176"/>
      <c r="D8" s="9"/>
    </row>
    <row r="9" spans="1:6" x14ac:dyDescent="0.2">
      <c r="A9" s="8" t="s">
        <v>131</v>
      </c>
      <c r="B9" s="175">
        <f>20.3+34.4</f>
        <v>54.7</v>
      </c>
      <c r="C9" s="175">
        <f>0.8*5</f>
        <v>4</v>
      </c>
      <c r="D9" s="9">
        <v>0</v>
      </c>
    </row>
    <row r="10" spans="1:6" x14ac:dyDescent="0.2">
      <c r="A10" s="8"/>
      <c r="B10" s="175"/>
      <c r="C10" s="176"/>
      <c r="D10" s="9"/>
    </row>
    <row r="11" spans="1:6" x14ac:dyDescent="0.2">
      <c r="A11" s="8" t="s">
        <v>145</v>
      </c>
      <c r="B11" s="175">
        <f>15.1+34.1+0.5</f>
        <v>49.7</v>
      </c>
      <c r="C11" s="175">
        <f>19.6*5</f>
        <v>98</v>
      </c>
      <c r="D11" s="9">
        <f>(B11*$C$18)+(C11*$C$19)</f>
        <v>4629.24</v>
      </c>
    </row>
    <row r="12" spans="1:6" x14ac:dyDescent="0.2">
      <c r="A12" s="8"/>
      <c r="B12" s="175"/>
      <c r="C12" s="176"/>
      <c r="D12" s="9"/>
    </row>
    <row r="13" spans="1:6" x14ac:dyDescent="0.2">
      <c r="A13" s="11" t="s">
        <v>4</v>
      </c>
      <c r="B13" s="51">
        <f>SUM(B5:B12)</f>
        <v>159.69999999999999</v>
      </c>
      <c r="C13" s="51">
        <f>SUM(C5:C12)</f>
        <v>107.5</v>
      </c>
      <c r="D13" s="34">
        <f>SUM(D5:D12)</f>
        <v>16757.154999999999</v>
      </c>
      <c r="F13" s="25">
        <f>SUM(D6:D12)</f>
        <v>7882.1550000000007</v>
      </c>
    </row>
    <row r="14" spans="1:6" x14ac:dyDescent="0.2">
      <c r="A14" s="22"/>
    </row>
    <row r="15" spans="1:6" x14ac:dyDescent="0.2">
      <c r="A15" s="36" t="s">
        <v>245</v>
      </c>
    </row>
    <row r="16" spans="1:6" x14ac:dyDescent="0.2">
      <c r="A16" s="235" t="s">
        <v>246</v>
      </c>
    </row>
    <row r="17" spans="1:4" x14ac:dyDescent="0.2">
      <c r="A17" s="148"/>
      <c r="C17" s="92" t="s">
        <v>53</v>
      </c>
      <c r="D17" s="59"/>
    </row>
    <row r="18" spans="1:4" x14ac:dyDescent="0.2">
      <c r="C18" s="225">
        <v>57</v>
      </c>
      <c r="D18" s="59" t="s">
        <v>54</v>
      </c>
    </row>
    <row r="19" spans="1:4" x14ac:dyDescent="0.2">
      <c r="C19" s="93">
        <v>18.329999999999998</v>
      </c>
      <c r="D19" s="59" t="s">
        <v>55</v>
      </c>
    </row>
  </sheetData>
  <mergeCells count="4">
    <mergeCell ref="A3:A4"/>
    <mergeCell ref="B3:B4"/>
    <mergeCell ref="C3:C4"/>
    <mergeCell ref="D3:D4"/>
  </mergeCells>
  <phoneticPr fontId="5" type="noConversion"/>
  <hyperlinks>
    <hyperlink ref="B1" location="Hovedark!A1" display="Hovedark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56"/>
  <sheetViews>
    <sheetView zoomScale="160" zoomScaleNormal="160" workbookViewId="0">
      <selection activeCell="C8" sqref="C8"/>
    </sheetView>
  </sheetViews>
  <sheetFormatPr baseColWidth="10" defaultColWidth="11.42578125" defaultRowHeight="12.75" x14ac:dyDescent="0.2"/>
  <cols>
    <col min="1" max="1" width="38.5703125" style="35" customWidth="1"/>
    <col min="2" max="2" width="14.85546875" style="35" customWidth="1"/>
    <col min="3" max="16384" width="11.42578125" style="35"/>
  </cols>
  <sheetData>
    <row r="1" spans="1:3" ht="27" customHeight="1" x14ac:dyDescent="0.2">
      <c r="C1" s="87" t="s">
        <v>65</v>
      </c>
    </row>
    <row r="3" spans="1:3" ht="27" customHeight="1" x14ac:dyDescent="0.3">
      <c r="A3" s="1" t="s">
        <v>58</v>
      </c>
      <c r="B3" s="44" t="s">
        <v>59</v>
      </c>
      <c r="C3" s="277" t="s">
        <v>25</v>
      </c>
    </row>
    <row r="4" spans="1:3" x14ac:dyDescent="0.2">
      <c r="A4" s="45" t="s">
        <v>180</v>
      </c>
      <c r="B4" s="166" t="s">
        <v>162</v>
      </c>
      <c r="C4" s="279"/>
    </row>
    <row r="5" spans="1:3" x14ac:dyDescent="0.2">
      <c r="A5" s="3" t="s">
        <v>0</v>
      </c>
      <c r="B5" s="24"/>
      <c r="C5" s="24"/>
    </row>
    <row r="6" spans="1:3" x14ac:dyDescent="0.2">
      <c r="A6" s="5" t="s">
        <v>46</v>
      </c>
    </row>
    <row r="7" spans="1:3" x14ac:dyDescent="0.2">
      <c r="A7" s="5" t="s">
        <v>2</v>
      </c>
      <c r="B7" s="7"/>
      <c r="C7" s="7"/>
    </row>
    <row r="8" spans="1:3" x14ac:dyDescent="0.2">
      <c r="A8" s="10" t="s">
        <v>5</v>
      </c>
      <c r="B8" s="7">
        <v>1300</v>
      </c>
      <c r="C8" s="250">
        <v>3215</v>
      </c>
    </row>
    <row r="9" spans="1:3" x14ac:dyDescent="0.2">
      <c r="A9" s="10"/>
      <c r="B9" s="7"/>
      <c r="C9" s="7"/>
    </row>
    <row r="10" spans="1:3" x14ac:dyDescent="0.2">
      <c r="A10" s="8" t="s">
        <v>3</v>
      </c>
      <c r="B10" s="9">
        <v>1000</v>
      </c>
      <c r="C10" s="9">
        <v>0</v>
      </c>
    </row>
    <row r="11" spans="1:3" x14ac:dyDescent="0.2">
      <c r="A11" s="8"/>
      <c r="B11" s="9"/>
      <c r="C11" s="9"/>
    </row>
    <row r="12" spans="1:3" x14ac:dyDescent="0.2">
      <c r="A12" s="8" t="s">
        <v>131</v>
      </c>
      <c r="B12" s="9">
        <v>1000</v>
      </c>
      <c r="C12" s="9">
        <v>0</v>
      </c>
    </row>
    <row r="13" spans="1:3" x14ac:dyDescent="0.2">
      <c r="A13" s="8"/>
      <c r="B13" s="9"/>
      <c r="C13" s="9"/>
    </row>
    <row r="14" spans="1:3" x14ac:dyDescent="0.2">
      <c r="A14" s="8" t="s">
        <v>145</v>
      </c>
      <c r="B14" s="250">
        <v>2000</v>
      </c>
      <c r="C14" s="9">
        <v>0</v>
      </c>
    </row>
    <row r="15" spans="1:3" x14ac:dyDescent="0.2">
      <c r="A15" s="8"/>
      <c r="B15" s="9"/>
      <c r="C15" s="9"/>
    </row>
    <row r="16" spans="1:3" s="24" customFormat="1" x14ac:dyDescent="0.2">
      <c r="A16" s="11" t="s">
        <v>4</v>
      </c>
      <c r="B16" s="12">
        <f>SUM(B8:B15)</f>
        <v>5300</v>
      </c>
      <c r="C16" s="12">
        <f>SUM(C8:C15)</f>
        <v>3215</v>
      </c>
    </row>
    <row r="17" s="24" customFormat="1" x14ac:dyDescent="0.2"/>
    <row r="18" s="24" customFormat="1" x14ac:dyDescent="0.2"/>
    <row r="19" s="24" customFormat="1" x14ac:dyDescent="0.2"/>
    <row r="20" s="24" customFormat="1" x14ac:dyDescent="0.2"/>
    <row r="21" s="24" customFormat="1" x14ac:dyDescent="0.2"/>
    <row r="22" s="24" customFormat="1" x14ac:dyDescent="0.2"/>
    <row r="23" s="24" customFormat="1" x14ac:dyDescent="0.2"/>
    <row r="24" s="24" customFormat="1" x14ac:dyDescent="0.2"/>
    <row r="25" s="24" customFormat="1" x14ac:dyDescent="0.2"/>
    <row r="26" s="24" customFormat="1" x14ac:dyDescent="0.2"/>
    <row r="27" s="24" customFormat="1" x14ac:dyDescent="0.2"/>
    <row r="28" s="24" customFormat="1" x14ac:dyDescent="0.2"/>
    <row r="29" s="24" customFormat="1" x14ac:dyDescent="0.2"/>
    <row r="30" s="24" customFormat="1" x14ac:dyDescent="0.2"/>
    <row r="31" s="24" customFormat="1" x14ac:dyDescent="0.2"/>
    <row r="32" s="24" customFormat="1" x14ac:dyDescent="0.2"/>
    <row r="33" s="24" customFormat="1" x14ac:dyDescent="0.2"/>
    <row r="34" s="24" customFormat="1" x14ac:dyDescent="0.2"/>
    <row r="35" s="24" customFormat="1" x14ac:dyDescent="0.2"/>
    <row r="36" s="24" customFormat="1" x14ac:dyDescent="0.2"/>
    <row r="37" s="24" customFormat="1" x14ac:dyDescent="0.2"/>
    <row r="38" s="24" customFormat="1" x14ac:dyDescent="0.2"/>
    <row r="39" s="24" customFormat="1" x14ac:dyDescent="0.2"/>
    <row r="40" s="24" customFormat="1" x14ac:dyDescent="0.2"/>
    <row r="41" s="24" customFormat="1" x14ac:dyDescent="0.2"/>
    <row r="42" s="24" customFormat="1" x14ac:dyDescent="0.2"/>
    <row r="43" s="24" customFormat="1" x14ac:dyDescent="0.2"/>
    <row r="44" s="24" customFormat="1" x14ac:dyDescent="0.2"/>
    <row r="45" s="24" customFormat="1" x14ac:dyDescent="0.2"/>
    <row r="46" s="24" customFormat="1" x14ac:dyDescent="0.2"/>
    <row r="47" s="24" customFormat="1" x14ac:dyDescent="0.2"/>
    <row r="48" s="24" customFormat="1" x14ac:dyDescent="0.2"/>
    <row r="49" s="24" customFormat="1" x14ac:dyDescent="0.2"/>
    <row r="50" s="24" customFormat="1" x14ac:dyDescent="0.2"/>
    <row r="51" s="24" customFormat="1" x14ac:dyDescent="0.2"/>
    <row r="52" s="24" customFormat="1" x14ac:dyDescent="0.2"/>
    <row r="53" s="24" customFormat="1" x14ac:dyDescent="0.2"/>
    <row r="54" s="24" customFormat="1" x14ac:dyDescent="0.2"/>
    <row r="55" s="24" customFormat="1" x14ac:dyDescent="0.2"/>
    <row r="56" s="24" customFormat="1" x14ac:dyDescent="0.2"/>
  </sheetData>
  <mergeCells count="1">
    <mergeCell ref="C3:C4"/>
  </mergeCells>
  <phoneticPr fontId="5" type="noConversion"/>
  <hyperlinks>
    <hyperlink ref="C1" location="Hovedark!A1" display="Hovedark"/>
  </hyperlink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&amp;L&amp;"Arial,Halvfet"&amp;16Det medisinske fakultet&amp;"Arial,Normal"&amp;10
&amp;"Arial,Halvfet"&amp;12Budsjettfordelingsmodell</oddHeader>
    <oddFooter>&amp;LSide &amp;P av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9</vt:i4>
      </vt:variant>
    </vt:vector>
  </HeadingPairs>
  <TitlesOfParts>
    <vt:vector size="25" baseType="lpstr">
      <vt:lpstr>Forside</vt:lpstr>
      <vt:lpstr>Hovedark</vt:lpstr>
      <vt:lpstr>Undervisningsregnskap</vt:lpstr>
      <vt:lpstr>U. timer</vt:lpstr>
      <vt:lpstr>FU Særs kostn</vt:lpstr>
      <vt:lpstr>Tekn ass</vt:lpstr>
      <vt:lpstr>Rekr still</vt:lpstr>
      <vt:lpstr>Vit utstyr</vt:lpstr>
      <vt:lpstr>Forskerlinj-utd</vt:lpstr>
      <vt:lpstr>FoF Resultat</vt:lpstr>
      <vt:lpstr>FoF Særs kost</vt:lpstr>
      <vt:lpstr>FoF midl satsn</vt:lpstr>
      <vt:lpstr>Samfunsoppd</vt:lpstr>
      <vt:lpstr>Lokal adm</vt:lpstr>
      <vt:lpstr>Fellesadm</vt:lpstr>
      <vt:lpstr>Sheet1</vt:lpstr>
      <vt:lpstr>ikke_lab_andel</vt:lpstr>
      <vt:lpstr>Lab_andel</vt:lpstr>
      <vt:lpstr>netto_arsverk</vt:lpstr>
      <vt:lpstr>Fellesadm!Utskriftsområde</vt:lpstr>
      <vt:lpstr>Hovedark!Utskriftsområde</vt:lpstr>
      <vt:lpstr>'U. timer'!Utskriftsområde</vt:lpstr>
      <vt:lpstr>Undervisningsregnskap!Utskriftsområde</vt:lpstr>
      <vt:lpstr>'FU Særs kostn'!Utskriftstitler</vt:lpstr>
      <vt:lpstr>Hovedark!Utskriftstitler</vt:lpstr>
    </vt:vector>
  </TitlesOfParts>
  <Company>UiO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halvorfa</dc:creator>
  <cp:lastModifiedBy>astrhol</cp:lastModifiedBy>
  <cp:lastPrinted>2015-08-20T08:31:30Z</cp:lastPrinted>
  <dcterms:created xsi:type="dcterms:W3CDTF">2009-04-28T11:24:49Z</dcterms:created>
  <dcterms:modified xsi:type="dcterms:W3CDTF">2015-09-08T10:23:50Z</dcterms:modified>
</cp:coreProperties>
</file>