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uio-my.sharepoint.com/personal/dajanad_uio_no/Documents/Desktop/SVI ISPITI/"/>
    </mc:Choice>
  </mc:AlternateContent>
  <xr:revisionPtr revIDLastSave="1183" documentId="11_F25DC773A252ABDACC1048D0619E61065BDE58EC" xr6:coauthVersionLast="47" xr6:coauthVersionMax="47" xr10:uidLastSave="{E5A2AF9B-2812-4BE9-A8EF-683653CC1CE8}"/>
  <bookViews>
    <workbookView xWindow="-110" yWindow="-110" windowWidth="19420" windowHeight="10420" activeTab="2" xr2:uid="{00000000-000D-0000-FFFF-FFFF00000000}"/>
  </bookViews>
  <sheets>
    <sheet name="Q1" sheetId="1" r:id="rId1"/>
    <sheet name="Q2" sheetId="2" r:id="rId2"/>
    <sheet name="Q4" sheetId="3" r:id="rId3"/>
    <sheet name="Q5" sheetId="4" r:id="rId4"/>
    <sheet name="Q6" sheetId="5" r:id="rId5"/>
    <sheet name="Q7" sheetId="6" r:id="rId6"/>
    <sheet name="Q8" sheetId="7" r:id="rId7"/>
    <sheet name="Q9" sheetId="8" r:id="rId8"/>
    <sheet name="Q10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3" l="1"/>
  <c r="B14" i="6" l="1"/>
  <c r="B14" i="2" l="1"/>
  <c r="C48" i="7" l="1"/>
  <c r="F11" i="4" l="1"/>
  <c r="C27" i="7"/>
  <c r="B12" i="2" l="1"/>
  <c r="C51" i="7" l="1"/>
  <c r="C50" i="7"/>
  <c r="C29" i="7"/>
  <c r="D30" i="7" l="1"/>
  <c r="C30" i="7"/>
  <c r="B10" i="3"/>
  <c r="D45" i="7" l="1"/>
  <c r="C45" i="7"/>
  <c r="E39" i="7"/>
  <c r="F39" i="7"/>
  <c r="G39" i="7"/>
  <c r="D39" i="7"/>
  <c r="C39" i="7"/>
  <c r="C41" i="7"/>
  <c r="C18" i="6" l="1"/>
  <c r="C12" i="6"/>
  <c r="C22" i="8"/>
  <c r="B22" i="8"/>
  <c r="C16" i="8"/>
  <c r="C24" i="9" l="1"/>
  <c r="B25" i="9"/>
  <c r="B23" i="9"/>
  <c r="B42" i="7"/>
  <c r="E45" i="7"/>
  <c r="F45" i="7"/>
  <c r="G45" i="7"/>
  <c r="C24" i="7"/>
  <c r="D24" i="7"/>
  <c r="E24" i="7"/>
  <c r="F24" i="7"/>
  <c r="G24" i="7"/>
  <c r="B15" i="2" l="1"/>
  <c r="B24" i="9"/>
  <c r="B22" i="9"/>
  <c r="B21" i="9"/>
  <c r="B19" i="9"/>
  <c r="B18" i="9"/>
  <c r="E11" i="4"/>
  <c r="D12" i="4"/>
  <c r="D11" i="4"/>
  <c r="F17" i="1"/>
  <c r="E17" i="1"/>
  <c r="D17" i="1"/>
  <c r="C17" i="1"/>
  <c r="F11" i="1"/>
  <c r="E11" i="1"/>
  <c r="D11" i="1"/>
  <c r="C11" i="1"/>
  <c r="D23" i="8"/>
  <c r="D24" i="8"/>
  <c r="C23" i="8"/>
  <c r="D22" i="8"/>
  <c r="B20" i="6"/>
  <c r="F18" i="6"/>
  <c r="E18" i="6"/>
  <c r="D18" i="6"/>
  <c r="D12" i="6"/>
  <c r="E12" i="6"/>
  <c r="F12" i="6"/>
  <c r="B18" i="6" l="1"/>
  <c r="B12" i="6"/>
  <c r="C22" i="9"/>
  <c r="C23" i="9" s="1"/>
  <c r="B31" i="5"/>
  <c r="B30" i="5"/>
  <c r="B27" i="5"/>
  <c r="H14" i="3"/>
  <c r="I14" i="3"/>
  <c r="J14" i="3"/>
  <c r="K14" i="3"/>
  <c r="B17" i="1"/>
  <c r="B11" i="1"/>
  <c r="G22" i="9"/>
  <c r="G23" i="9" s="1"/>
  <c r="G24" i="9" s="1"/>
  <c r="F22" i="9"/>
  <c r="F23" i="9" s="1"/>
  <c r="F24" i="9" s="1"/>
  <c r="E22" i="9"/>
  <c r="E23" i="9" s="1"/>
  <c r="E24" i="9" s="1"/>
  <c r="D22" i="9"/>
  <c r="D23" i="9" s="1"/>
  <c r="D24" i="9" s="1"/>
  <c r="B13" i="6" l="1"/>
  <c r="B19" i="6"/>
  <c r="B18" i="1"/>
  <c r="D35" i="9" l="1"/>
  <c r="D36" i="9"/>
  <c r="E43" i="7"/>
  <c r="B51" i="7"/>
  <c r="B52" i="7" s="1"/>
  <c r="B47" i="7"/>
  <c r="G43" i="7"/>
  <c r="F43" i="7"/>
  <c r="G41" i="7"/>
  <c r="F41" i="7"/>
  <c r="E41" i="7"/>
  <c r="D41" i="7"/>
  <c r="C22" i="7"/>
  <c r="C20" i="7"/>
  <c r="D20" i="7"/>
  <c r="E20" i="7"/>
  <c r="F20" i="7"/>
  <c r="G20" i="7"/>
  <c r="B30" i="7"/>
  <c r="B31" i="7" s="1"/>
  <c r="B26" i="7"/>
  <c r="G22" i="7"/>
  <c r="F22" i="7"/>
  <c r="E22" i="7"/>
  <c r="D22" i="7"/>
  <c r="B26" i="8" l="1"/>
  <c r="B27" i="8" s="1"/>
  <c r="F48" i="7"/>
  <c r="F49" i="7" s="1"/>
  <c r="G48" i="7"/>
  <c r="G49" i="7" s="1"/>
  <c r="G50" i="7" s="1"/>
  <c r="G51" i="7" s="1"/>
  <c r="G52" i="7" s="1"/>
  <c r="E48" i="7"/>
  <c r="C43" i="7"/>
  <c r="C49" i="7" s="1"/>
  <c r="C52" i="7" s="1"/>
  <c r="D43" i="7"/>
  <c r="D48" i="7" s="1"/>
  <c r="D49" i="7" s="1"/>
  <c r="D50" i="7" s="1"/>
  <c r="D51" i="7" s="1"/>
  <c r="D52" i="7" s="1"/>
  <c r="E49" i="7"/>
  <c r="E50" i="7" s="1"/>
  <c r="E51" i="7" s="1"/>
  <c r="E52" i="7" s="1"/>
  <c r="C28" i="7"/>
  <c r="G27" i="7"/>
  <c r="G28" i="7" s="1"/>
  <c r="F27" i="7"/>
  <c r="F28" i="7" s="1"/>
  <c r="F29" i="7" s="1"/>
  <c r="F30" i="7" s="1"/>
  <c r="F31" i="7" s="1"/>
  <c r="E27" i="7"/>
  <c r="D27" i="7"/>
  <c r="D28" i="7" s="1"/>
  <c r="E28" i="7"/>
  <c r="E29" i="7" s="1"/>
  <c r="E30" i="7" s="1"/>
  <c r="E31" i="7" s="1"/>
  <c r="F50" i="7" l="1"/>
  <c r="F51" i="7" s="1"/>
  <c r="F52" i="7" s="1"/>
  <c r="B53" i="7" s="1"/>
  <c r="G29" i="7"/>
  <c r="G30" i="7" s="1"/>
  <c r="G31" i="7" s="1"/>
  <c r="C31" i="7"/>
  <c r="D29" i="7"/>
  <c r="D31" i="7" s="1"/>
  <c r="B32" i="7" l="1"/>
  <c r="G14" i="3" l="1"/>
  <c r="B28" i="5" l="1"/>
  <c r="E8" i="5"/>
  <c r="E9" i="5"/>
  <c r="E10" i="5"/>
  <c r="E7" i="5"/>
  <c r="D8" i="5"/>
  <c r="D9" i="5"/>
  <c r="D10" i="5"/>
  <c r="D11" i="5"/>
  <c r="D7" i="5"/>
  <c r="E14" i="3" l="1"/>
  <c r="F14" i="3"/>
  <c r="B14" i="3"/>
  <c r="B15" i="3" s="1"/>
  <c r="D14" i="3"/>
  <c r="D12" i="5"/>
  <c r="E12" i="5"/>
  <c r="D13" i="4" l="1"/>
  <c r="D14" i="4"/>
  <c r="D15" i="4"/>
  <c r="D16" i="4" l="1"/>
  <c r="E14" i="4" s="1"/>
  <c r="F14" i="4" s="1"/>
  <c r="B12" i="1"/>
  <c r="E15" i="4" l="1"/>
  <c r="F15" i="4" s="1"/>
  <c r="E12" i="4"/>
  <c r="F12" i="4" s="1"/>
  <c r="E13" i="4"/>
  <c r="F13" i="4" s="1"/>
  <c r="F16" i="4"/>
  <c r="C19" i="4" s="1"/>
</calcChain>
</file>

<file path=xl/sharedStrings.xml><?xml version="1.0" encoding="utf-8"?>
<sst xmlns="http://schemas.openxmlformats.org/spreadsheetml/2006/main" count="179" uniqueCount="138">
  <si>
    <t>Question 1</t>
  </si>
  <si>
    <t>Question 2</t>
  </si>
  <si>
    <t>FV of car</t>
  </si>
  <si>
    <t>t</t>
  </si>
  <si>
    <t>r</t>
  </si>
  <si>
    <t xml:space="preserve">PV </t>
  </si>
  <si>
    <t>C</t>
  </si>
  <si>
    <t>PMT formula</t>
  </si>
  <si>
    <t>annuity formula</t>
  </si>
  <si>
    <t>Question 4</t>
  </si>
  <si>
    <t>If the investors demand a 6% semiannual return, calculate the price of the bond if the bond makes semiannual coupon payments.</t>
  </si>
  <si>
    <t xml:space="preserve">Calculate the duration and modified duration for the 5% bonds in the table shown below. </t>
  </si>
  <si>
    <t>Question 5</t>
  </si>
  <si>
    <t>year</t>
  </si>
  <si>
    <t>payment</t>
  </si>
  <si>
    <t>PV(C)</t>
  </si>
  <si>
    <t>PV(C)/PV</t>
  </si>
  <si>
    <t>t*(PV(C)/PV)</t>
  </si>
  <si>
    <t>yield to m</t>
  </si>
  <si>
    <t>PV</t>
  </si>
  <si>
    <t>Modified duration</t>
  </si>
  <si>
    <t>Question 6</t>
  </si>
  <si>
    <t xml:space="preserve">Consider two following projects. </t>
  </si>
  <si>
    <t xml:space="preserve">Year </t>
  </si>
  <si>
    <t>Project A</t>
  </si>
  <si>
    <t>Project B</t>
  </si>
  <si>
    <t>PV(A)</t>
  </si>
  <si>
    <t>PV(B)</t>
  </si>
  <si>
    <t>NPV</t>
  </si>
  <si>
    <t>NPV (A)</t>
  </si>
  <si>
    <t>NPV (B)</t>
  </si>
  <si>
    <t>IRR (A)</t>
  </si>
  <si>
    <t>IRR (B)</t>
  </si>
  <si>
    <t>PI(A)</t>
  </si>
  <si>
    <t>PI(B)</t>
  </si>
  <si>
    <t xml:space="preserve">a. If the opportunity cost of capital is 10%, which of these two projects will you accept? (A, B, or both) </t>
  </si>
  <si>
    <t>b. Suppose that you can choose only one of these two projects. Which one would you choose at discount rate of 11%?</t>
  </si>
  <si>
    <t>c. What is the IRR and profitability index for each project at oportunity cost of 10%? Which project would you chose based on profitability index?</t>
  </si>
  <si>
    <t>Question 7</t>
  </si>
  <si>
    <t>Coupon rate</t>
  </si>
  <si>
    <t xml:space="preserve">Face Value </t>
  </si>
  <si>
    <t>Semiannual return</t>
  </si>
  <si>
    <t>Semiannual payment</t>
  </si>
  <si>
    <t>Year</t>
  </si>
  <si>
    <t>Semiannual payments</t>
  </si>
  <si>
    <t>EAC</t>
  </si>
  <si>
    <t>Question 8</t>
  </si>
  <si>
    <t>Question 9</t>
  </si>
  <si>
    <t>Question 10</t>
  </si>
  <si>
    <t>Expected sales</t>
  </si>
  <si>
    <t>Unit price</t>
  </si>
  <si>
    <t>Variable costs</t>
  </si>
  <si>
    <t>Fixed costs</t>
  </si>
  <si>
    <t>The firm tax rate is 30% and the required rate of return is 12%</t>
  </si>
  <si>
    <t>a. What is project NPV if all variables are as expected?</t>
  </si>
  <si>
    <t>units per year</t>
  </si>
  <si>
    <t>Initial investment</t>
  </si>
  <si>
    <t>Units sold</t>
  </si>
  <si>
    <t>Revenue</t>
  </si>
  <si>
    <t>Variable cost per unit</t>
  </si>
  <si>
    <t>Variable cost</t>
  </si>
  <si>
    <t>Fixed cost</t>
  </si>
  <si>
    <t>Depreciation</t>
  </si>
  <si>
    <t>tax rate</t>
  </si>
  <si>
    <t>required rate of return</t>
  </si>
  <si>
    <t>EBIT</t>
  </si>
  <si>
    <t>Taxes</t>
  </si>
  <si>
    <t>Net income</t>
  </si>
  <si>
    <t>Net Cash Flow</t>
  </si>
  <si>
    <t>PV at 12%</t>
  </si>
  <si>
    <t>The project will last for 5 years and requires an initial investment od $500,000, which will be depreciated straight-line over the project life to a final value of zero.</t>
  </si>
  <si>
    <t>b. What is NPV in the worst-case scenario?</t>
  </si>
  <si>
    <t xml:space="preserve">However, you recognize that some of these estimates are subject to error. Sales could fall 30% below expectation for the life of the project and if that happens, </t>
  </si>
  <si>
    <t>Calculate the expected portfolio rate of return and standard deviation of a portfolio with the following stocks:</t>
  </si>
  <si>
    <t>Company A</t>
  </si>
  <si>
    <t>Company B</t>
  </si>
  <si>
    <t>Company C</t>
  </si>
  <si>
    <t>rate of return</t>
  </si>
  <si>
    <t>share</t>
  </si>
  <si>
    <t>st.dev.</t>
  </si>
  <si>
    <t>Expected rate of return</t>
  </si>
  <si>
    <t>Standard deviation of the stocks</t>
  </si>
  <si>
    <t>Stock A</t>
  </si>
  <si>
    <t>Stock B</t>
  </si>
  <si>
    <t>Stock C</t>
  </si>
  <si>
    <t>Correlations</t>
  </si>
  <si>
    <t>AB</t>
  </si>
  <si>
    <t>BC</t>
  </si>
  <si>
    <t>AC</t>
  </si>
  <si>
    <t>Variance</t>
  </si>
  <si>
    <t>St.dev</t>
  </si>
  <si>
    <t>Investment</t>
  </si>
  <si>
    <t>Adm. costs</t>
  </si>
  <si>
    <t>Cost of capital</t>
  </si>
  <si>
    <t xml:space="preserve">Tax rate </t>
  </si>
  <si>
    <t>Tax shield on invest.</t>
  </si>
  <si>
    <t>Tax shield on adm. costs</t>
  </si>
  <si>
    <t>Investment after tax shield</t>
  </si>
  <si>
    <t>Adm. cost after tax shield</t>
  </si>
  <si>
    <t>Total costs</t>
  </si>
  <si>
    <t>PV of all costs</t>
  </si>
  <si>
    <t>Total PV</t>
  </si>
  <si>
    <t>Formula to calculate break-even lease rate</t>
  </si>
  <si>
    <t>C is after-tax break-even lease rate</t>
  </si>
  <si>
    <t>PV = C x (1/r - 1/r(1+r)^t) x (1+r)</t>
  </si>
  <si>
    <t>r is cost of capital</t>
  </si>
  <si>
    <t xml:space="preserve">t is number of years </t>
  </si>
  <si>
    <t>After tax break-even lease rate</t>
  </si>
  <si>
    <t>PV (C)</t>
  </si>
  <si>
    <t>rate1</t>
  </si>
  <si>
    <t>rate2</t>
  </si>
  <si>
    <t xml:space="preserve">Judy Erin is saving to a new buy a car at the end of year 7. </t>
  </si>
  <si>
    <t xml:space="preserve">A five-year bond has an annual 5% coupon rate and a $10,000 face value. </t>
  </si>
  <si>
    <t>The inflation rate is zero. What is the break-even operating lease for a new equipment?</t>
  </si>
  <si>
    <t>Lease</t>
  </si>
  <si>
    <t>Buy</t>
  </si>
  <si>
    <t xml:space="preserve">Company XY is renting office equipment to other companies. </t>
  </si>
  <si>
    <t>b. Which is the better option: leasing or buying?</t>
  </si>
  <si>
    <t xml:space="preserve">Company X can lease machine for four years at a cost of €55,000 annually. </t>
  </si>
  <si>
    <t xml:space="preserve">Instead of leasing, other option for company is to buy this machine at a cost of €100,000 with annual maintenance expenses of €30,000. </t>
  </si>
  <si>
    <t>a. What is the equivalent annual cost of buying and maintaining the machine if the discount rate is 14%?</t>
  </si>
  <si>
    <t xml:space="preserve">Consider $5,000 equipment that lasts for six years and can be depreciated immediately. </t>
  </si>
  <si>
    <t xml:space="preserve">If the car costs €50,000 and she can earn 12% a year on her savings, </t>
  </si>
  <si>
    <t>how much of the equal ammounts she must put aside annualy at the end of year 1 through 7?</t>
  </si>
  <si>
    <t>Show how duration change if bonds coupon is 8% of face value and bonds yield is still 6% and explain why.</t>
  </si>
  <si>
    <t xml:space="preserve">The machine will be sold at the end of four years for €50,000. Ignore taxes. </t>
  </si>
  <si>
    <t>You are considering a proposal to produce and market a new purse. The most likely outcomes for the project are as follows</t>
  </si>
  <si>
    <t>15 % Company A – Rate of return 6 %, Standard deviation 0,2</t>
  </si>
  <si>
    <t>65 % Company B – Rate of return 25 %, Standard deviation 0,15</t>
  </si>
  <si>
    <t>25 % Company C – Rate of return 13 %, Standard deviation 0,25</t>
  </si>
  <si>
    <t>Assume that lease rates for old and new equipment are the same and that Companies’ pretax administrative costs are $650 per equipment in each of years 1 to 6.</t>
  </si>
  <si>
    <t>Assume annual coupon payments and a yield to maturity of 6%.</t>
  </si>
  <si>
    <t>the unit price would probably be only $40. The good news is that fixed costs could be as low as $80,000 and variable costs would decline in proportion to sale price.</t>
  </si>
  <si>
    <t xml:space="preserve">The correlation between the stocks of company A and B is -0,5, the correlation between the stocks of company B and C is 0,05 </t>
  </si>
  <si>
    <t>and the correlation between the stocks of company A and C is 0,9</t>
  </si>
  <si>
    <t>The cost of capital is 9% and the tax rate is 21%.</t>
  </si>
  <si>
    <t>C = PV/(1/r - 1/(r(1+r)^t) x (1+r))</t>
  </si>
  <si>
    <t>Calculate the net present value of a project that produces positive cash inflow of €1,200 at the end of a year for each of the next three years and €3,200 at the end of year four. The investment costs are €5,300 and the discount rate 10%. What will be the NPV of the same cash flows at a discount rate of 9%?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</si>
</sst>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[$$-1009]#,##0.00"/>
    <numFmt numFmtId="167" formatCode="[$$-1009]#,##0"/>
    <numFmt numFmtId="168" formatCode="0.00000"/>
    <numFmt numFmtId="169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/>
    <xf numFmtId="2" fontId="0" fillId="0" borderId="1" xfId="0" applyNumberFormat="1" applyBorder="1"/>
    <xf numFmtId="9" fontId="0" fillId="0" borderId="0" xfId="0" applyNumberFormat="1"/>
    <xf numFmtId="0" fontId="0" fillId="0" borderId="0" xfId="0" applyBorder="1"/>
    <xf numFmtId="0" fontId="5" fillId="0" borderId="0" xfId="0" applyFont="1"/>
    <xf numFmtId="165" fontId="0" fillId="0" borderId="0" xfId="1" applyNumberFormat="1" applyFont="1"/>
    <xf numFmtId="166" fontId="0" fillId="0" borderId="0" xfId="1" applyNumberFormat="1" applyFont="1"/>
    <xf numFmtId="167" fontId="0" fillId="0" borderId="0" xfId="1" applyNumberFormat="1" applyFont="1"/>
    <xf numFmtId="1" fontId="0" fillId="2" borderId="1" xfId="0" applyNumberFormat="1" applyFill="1" applyBorder="1"/>
    <xf numFmtId="1" fontId="0" fillId="2" borderId="1" xfId="0" applyNumberFormat="1" applyFill="1" applyBorder="1" applyAlignment="1">
      <alignment horizontal="center"/>
    </xf>
    <xf numFmtId="165" fontId="0" fillId="0" borderId="1" xfId="1" applyNumberFormat="1" applyFont="1" applyBorder="1"/>
    <xf numFmtId="43" fontId="0" fillId="0" borderId="1" xfId="1" applyFont="1" applyBorder="1"/>
    <xf numFmtId="165" fontId="4" fillId="0" borderId="1" xfId="1" applyNumberFormat="1" applyFont="1" applyBorder="1"/>
    <xf numFmtId="10" fontId="0" fillId="0" borderId="0" xfId="2" applyNumberFormat="1" applyFont="1"/>
    <xf numFmtId="168" fontId="0" fillId="0" borderId="0" xfId="0" applyNumberFormat="1" applyAlignment="1">
      <alignment horizontal="center"/>
    </xf>
    <xf numFmtId="168" fontId="0" fillId="0" borderId="0" xfId="0" applyNumberFormat="1"/>
    <xf numFmtId="169" fontId="0" fillId="0" borderId="1" xfId="0" applyNumberFormat="1" applyBorder="1"/>
    <xf numFmtId="0" fontId="0" fillId="0" borderId="1" xfId="0" applyFill="1" applyBorder="1"/>
    <xf numFmtId="169" fontId="0" fillId="0" borderId="0" xfId="0" applyNumberFormat="1" applyFill="1" applyBorder="1"/>
    <xf numFmtId="169" fontId="0" fillId="0" borderId="0" xfId="0" applyNumberFormat="1"/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1" fillId="0" borderId="1" xfId="0" applyFont="1" applyBorder="1"/>
    <xf numFmtId="169" fontId="4" fillId="0" borderId="1" xfId="0" applyNumberFormat="1" applyFont="1" applyBorder="1"/>
    <xf numFmtId="0" fontId="0" fillId="0" borderId="0" xfId="0" applyAlignment="1">
      <alignment horizontal="left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workbookViewId="0">
      <selection activeCell="N7" sqref="N7"/>
    </sheetView>
  </sheetViews>
  <sheetFormatPr defaultRowHeight="14.5" x14ac:dyDescent="0.35"/>
  <cols>
    <col min="1" max="1" width="9.6328125" customWidth="1"/>
  </cols>
  <sheetData>
    <row r="1" spans="1:10" x14ac:dyDescent="0.35">
      <c r="A1" s="1" t="s">
        <v>0</v>
      </c>
    </row>
    <row r="3" spans="1:10" x14ac:dyDescent="0.35">
      <c r="A3" s="34" t="s">
        <v>137</v>
      </c>
      <c r="B3" s="34"/>
      <c r="C3" s="34"/>
      <c r="D3" s="34"/>
      <c r="E3" s="34"/>
      <c r="F3" s="34"/>
      <c r="G3" s="34"/>
      <c r="H3" s="34"/>
      <c r="I3" s="34"/>
      <c r="J3" s="34"/>
    </row>
    <row r="4" spans="1:10" x14ac:dyDescent="0.35">
      <c r="A4" s="34"/>
      <c r="B4" s="34"/>
      <c r="C4" s="34"/>
      <c r="D4" s="34"/>
      <c r="E4" s="34"/>
      <c r="F4" s="34"/>
      <c r="G4" s="34"/>
      <c r="H4" s="34"/>
      <c r="I4" s="34"/>
      <c r="J4" s="34"/>
    </row>
    <row r="5" spans="1:10" x14ac:dyDescent="0.35">
      <c r="A5" s="34"/>
      <c r="B5" s="34"/>
      <c r="C5" s="34"/>
      <c r="D5" s="34"/>
      <c r="E5" s="34"/>
      <c r="F5" s="34"/>
      <c r="G5" s="34"/>
      <c r="H5" s="34"/>
      <c r="I5" s="34"/>
      <c r="J5" s="34"/>
    </row>
    <row r="6" spans="1:10" x14ac:dyDescent="0.35">
      <c r="A6" s="34"/>
      <c r="B6" s="34"/>
      <c r="C6" s="34"/>
      <c r="D6" s="34"/>
      <c r="E6" s="34"/>
      <c r="F6" s="34"/>
      <c r="G6" s="34"/>
      <c r="H6" s="34"/>
      <c r="I6" s="34"/>
      <c r="J6" s="34"/>
    </row>
    <row r="8" spans="1:10" x14ac:dyDescent="0.35">
      <c r="H8" t="s">
        <v>109</v>
      </c>
      <c r="I8">
        <v>0.1</v>
      </c>
    </row>
    <row r="9" spans="1:10" x14ac:dyDescent="0.35">
      <c r="A9" s="8"/>
      <c r="B9" s="8">
        <v>0</v>
      </c>
      <c r="C9" s="8">
        <v>1</v>
      </c>
      <c r="D9" s="8">
        <v>2</v>
      </c>
      <c r="E9" s="8">
        <v>3</v>
      </c>
      <c r="F9" s="8">
        <v>4</v>
      </c>
    </row>
    <row r="10" spans="1:10" x14ac:dyDescent="0.35">
      <c r="A10" s="8" t="s">
        <v>6</v>
      </c>
      <c r="B10" s="8">
        <v>-5300</v>
      </c>
      <c r="C10" s="8">
        <v>1200</v>
      </c>
      <c r="D10" s="8">
        <v>1200</v>
      </c>
      <c r="E10" s="8">
        <v>1200</v>
      </c>
      <c r="F10" s="8">
        <v>3200</v>
      </c>
    </row>
    <row r="11" spans="1:10" x14ac:dyDescent="0.35">
      <c r="A11" s="8" t="s">
        <v>108</v>
      </c>
      <c r="B11" s="8">
        <f>B10/(1+$I$8)^B9</f>
        <v>-5300</v>
      </c>
      <c r="C11" s="9">
        <f>C10/(1+$I$8)^C9</f>
        <v>1090.9090909090908</v>
      </c>
      <c r="D11" s="9">
        <f>D10/(1+$I$8)^D9</f>
        <v>991.73553719008248</v>
      </c>
      <c r="E11" s="9">
        <f>E10/(1+$I$8)^E9</f>
        <v>901.57776108189307</v>
      </c>
      <c r="F11" s="9">
        <f>F10/(1+$I$8)^F9</f>
        <v>2185.6430571682258</v>
      </c>
    </row>
    <row r="12" spans="1:10" x14ac:dyDescent="0.35">
      <c r="A12" s="8" t="s">
        <v>28</v>
      </c>
      <c r="B12" s="9">
        <f>SUM(B11:F11)</f>
        <v>-130.1345536507074</v>
      </c>
      <c r="C12" s="8"/>
      <c r="D12" s="8"/>
      <c r="E12" s="8"/>
      <c r="F12" s="8"/>
    </row>
    <row r="14" spans="1:10" x14ac:dyDescent="0.35">
      <c r="H14" t="s">
        <v>110</v>
      </c>
      <c r="I14">
        <v>0.09</v>
      </c>
    </row>
    <row r="15" spans="1:10" x14ac:dyDescent="0.35">
      <c r="A15" s="8"/>
      <c r="B15" s="8">
        <v>0</v>
      </c>
      <c r="C15" s="8">
        <v>1</v>
      </c>
      <c r="D15" s="8">
        <v>2</v>
      </c>
      <c r="E15" s="8">
        <v>3</v>
      </c>
      <c r="F15" s="8">
        <v>4</v>
      </c>
    </row>
    <row r="16" spans="1:10" x14ac:dyDescent="0.35">
      <c r="A16" s="8" t="s">
        <v>6</v>
      </c>
      <c r="B16" s="8">
        <v>-5300</v>
      </c>
      <c r="C16" s="8">
        <v>1200</v>
      </c>
      <c r="D16" s="8">
        <v>1200</v>
      </c>
      <c r="E16" s="8">
        <v>1200</v>
      </c>
      <c r="F16" s="8">
        <v>3200</v>
      </c>
    </row>
    <row r="17" spans="1:6" x14ac:dyDescent="0.35">
      <c r="A17" s="8" t="s">
        <v>108</v>
      </c>
      <c r="B17" s="8">
        <f>B16/(1+$I$8)^B15</f>
        <v>-5300</v>
      </c>
      <c r="C17" s="9">
        <f>C16/(1+$I$14)^C15</f>
        <v>1100.9174311926604</v>
      </c>
      <c r="D17" s="9">
        <f>D16/(1+$I$14)^D15</f>
        <v>1010.0159919198719</v>
      </c>
      <c r="E17" s="9">
        <f>E16/(1+$I$14)^E15</f>
        <v>926.62017607327698</v>
      </c>
      <c r="F17" s="9">
        <f>F16/(1+$I$14)^F15</f>
        <v>2266.9606754086285</v>
      </c>
    </row>
    <row r="18" spans="1:6" x14ac:dyDescent="0.35">
      <c r="A18" s="8" t="s">
        <v>28</v>
      </c>
      <c r="B18" s="9">
        <f>SUM(B17:F17)</f>
        <v>4.5142745944372109</v>
      </c>
      <c r="C18" s="8"/>
      <c r="D18" s="8"/>
      <c r="E18" s="8"/>
      <c r="F18" s="8"/>
    </row>
  </sheetData>
  <mergeCells count="1">
    <mergeCell ref="A3:J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EC39B-224C-4B9F-A6CC-11F7F7682C85}">
  <dimension ref="A1:C15"/>
  <sheetViews>
    <sheetView workbookViewId="0">
      <selection activeCell="J16" sqref="J16"/>
    </sheetView>
  </sheetViews>
  <sheetFormatPr defaultRowHeight="14.5" x14ac:dyDescent="0.35"/>
  <cols>
    <col min="1" max="1" width="10.81640625" customWidth="1"/>
    <col min="2" max="2" width="10.453125" bestFit="1" customWidth="1"/>
  </cols>
  <sheetData>
    <row r="1" spans="1:3" x14ac:dyDescent="0.35">
      <c r="A1" s="1" t="s">
        <v>1</v>
      </c>
    </row>
    <row r="3" spans="1:3" x14ac:dyDescent="0.35">
      <c r="A3" t="s">
        <v>111</v>
      </c>
    </row>
    <row r="4" spans="1:3" x14ac:dyDescent="0.35">
      <c r="A4" t="s">
        <v>122</v>
      </c>
    </row>
    <row r="5" spans="1:3" x14ac:dyDescent="0.35">
      <c r="A5" t="s">
        <v>123</v>
      </c>
    </row>
    <row r="8" spans="1:3" x14ac:dyDescent="0.35">
      <c r="A8" t="s">
        <v>2</v>
      </c>
      <c r="B8">
        <v>50000</v>
      </c>
    </row>
    <row r="9" spans="1:3" x14ac:dyDescent="0.35">
      <c r="A9" t="s">
        <v>4</v>
      </c>
      <c r="B9">
        <v>0.12</v>
      </c>
    </row>
    <row r="10" spans="1:3" x14ac:dyDescent="0.35">
      <c r="A10" t="s">
        <v>3</v>
      </c>
      <c r="B10">
        <v>7</v>
      </c>
    </row>
    <row r="12" spans="1:3" x14ac:dyDescent="0.35">
      <c r="A12" t="s">
        <v>5</v>
      </c>
      <c r="B12">
        <f>B8/(1+B9)^B10</f>
        <v>22617.460766844673</v>
      </c>
    </row>
    <row r="14" spans="1:3" x14ac:dyDescent="0.35">
      <c r="A14" t="s">
        <v>6</v>
      </c>
      <c r="B14" s="3">
        <f>PMT(B9,B10,-B12)</f>
        <v>4955.8867950695403</v>
      </c>
      <c r="C14" t="s">
        <v>7</v>
      </c>
    </row>
    <row r="15" spans="1:3" x14ac:dyDescent="0.35">
      <c r="B15" s="3">
        <f>B12/((1/B9)-(1/(B9*(1+B9)^B10)))</f>
        <v>4955.8867950695376</v>
      </c>
      <c r="C15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44F20-B916-48F8-B34D-ACADCBF3C0F9}">
  <dimension ref="A1:K15"/>
  <sheetViews>
    <sheetView tabSelected="1" workbookViewId="0">
      <selection activeCell="C21" sqref="C21"/>
    </sheetView>
  </sheetViews>
  <sheetFormatPr defaultRowHeight="14.5" x14ac:dyDescent="0.35"/>
  <cols>
    <col min="1" max="1" width="22.7265625" customWidth="1"/>
    <col min="2" max="2" width="13.7265625" customWidth="1"/>
  </cols>
  <sheetData>
    <row r="1" spans="1:11" x14ac:dyDescent="0.35">
      <c r="A1" s="1" t="s">
        <v>9</v>
      </c>
    </row>
    <row r="3" spans="1:11" x14ac:dyDescent="0.35">
      <c r="A3" t="s">
        <v>112</v>
      </c>
    </row>
    <row r="4" spans="1:11" x14ac:dyDescent="0.35">
      <c r="A4" t="s">
        <v>10</v>
      </c>
    </row>
    <row r="6" spans="1:11" x14ac:dyDescent="0.35">
      <c r="A6" t="s">
        <v>39</v>
      </c>
      <c r="B6" s="2">
        <v>0.05</v>
      </c>
    </row>
    <row r="7" spans="1:11" x14ac:dyDescent="0.35">
      <c r="A7" t="s">
        <v>40</v>
      </c>
      <c r="B7">
        <v>10000</v>
      </c>
    </row>
    <row r="8" spans="1:11" x14ac:dyDescent="0.35">
      <c r="A8" t="s">
        <v>41</v>
      </c>
      <c r="B8">
        <v>0.06</v>
      </c>
    </row>
    <row r="10" spans="1:11" x14ac:dyDescent="0.35">
      <c r="A10" t="s">
        <v>42</v>
      </c>
      <c r="B10">
        <f>B7*(B6/2)</f>
        <v>250</v>
      </c>
    </row>
    <row r="12" spans="1:11" x14ac:dyDescent="0.35">
      <c r="A12" s="8" t="s">
        <v>43</v>
      </c>
      <c r="B12" s="8">
        <v>1</v>
      </c>
      <c r="C12" s="8">
        <v>2</v>
      </c>
      <c r="D12" s="8">
        <v>3</v>
      </c>
      <c r="E12" s="8">
        <v>4</v>
      </c>
      <c r="F12" s="8">
        <v>5</v>
      </c>
      <c r="G12" s="8">
        <v>6</v>
      </c>
      <c r="H12" s="25">
        <v>7</v>
      </c>
      <c r="I12" s="25">
        <v>8</v>
      </c>
      <c r="J12" s="25">
        <v>9</v>
      </c>
      <c r="K12" s="25">
        <v>10</v>
      </c>
    </row>
    <row r="13" spans="1:11" x14ac:dyDescent="0.35">
      <c r="A13" s="8" t="s">
        <v>44</v>
      </c>
      <c r="B13" s="8">
        <v>250</v>
      </c>
      <c r="C13" s="8">
        <v>250</v>
      </c>
      <c r="D13" s="8">
        <v>250</v>
      </c>
      <c r="E13" s="8">
        <v>250</v>
      </c>
      <c r="F13" s="8">
        <v>250</v>
      </c>
      <c r="G13" s="8">
        <v>250</v>
      </c>
      <c r="H13" s="8">
        <v>250</v>
      </c>
      <c r="I13" s="8">
        <v>250</v>
      </c>
      <c r="J13" s="8">
        <v>250</v>
      </c>
      <c r="K13" s="8">
        <v>10250</v>
      </c>
    </row>
    <row r="14" spans="1:11" x14ac:dyDescent="0.35">
      <c r="A14" s="8" t="s">
        <v>15</v>
      </c>
      <c r="B14" s="9">
        <f>B13/(1+$B$8)^B12</f>
        <v>235.84905660377356</v>
      </c>
      <c r="C14" s="9">
        <f>C13/(1+$B$8)^C12</f>
        <v>222.49911000355996</v>
      </c>
      <c r="D14" s="9">
        <f t="shared" ref="D14:K14" si="0">D13/(1+$B$8)^D12</f>
        <v>209.9048207580754</v>
      </c>
      <c r="E14" s="9">
        <f t="shared" si="0"/>
        <v>198.02341580950511</v>
      </c>
      <c r="F14" s="9">
        <f t="shared" si="0"/>
        <v>186.81454321651421</v>
      </c>
      <c r="G14" s="9">
        <f t="shared" si="0"/>
        <v>176.24013510991907</v>
      </c>
      <c r="H14" s="9">
        <f t="shared" si="0"/>
        <v>166.26427840558401</v>
      </c>
      <c r="I14" s="9">
        <f t="shared" si="0"/>
        <v>156.85309283545664</v>
      </c>
      <c r="J14" s="9">
        <f t="shared" si="0"/>
        <v>147.97461588250624</v>
      </c>
      <c r="K14" s="9">
        <f t="shared" si="0"/>
        <v>5723.5464633799584</v>
      </c>
    </row>
    <row r="15" spans="1:11" x14ac:dyDescent="0.35">
      <c r="A15" s="8" t="s">
        <v>19</v>
      </c>
      <c r="B15" s="9">
        <f>SUM(B14:K14)</f>
        <v>7423.9695320048522</v>
      </c>
      <c r="C15" s="8"/>
      <c r="D15" s="8"/>
      <c r="E15" s="8"/>
      <c r="F15" s="8"/>
      <c r="G15" s="8"/>
      <c r="H15" s="8"/>
      <c r="I15" s="8"/>
      <c r="J15" s="8"/>
      <c r="K15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C3658-B8CC-45E0-913D-3662E3FB22A5}">
  <dimension ref="A1:H19"/>
  <sheetViews>
    <sheetView workbookViewId="0">
      <selection activeCell="H17" sqref="H17"/>
    </sheetView>
  </sheetViews>
  <sheetFormatPr defaultRowHeight="14.5" x14ac:dyDescent="0.35"/>
  <cols>
    <col min="1" max="1" width="10.7265625" customWidth="1"/>
    <col min="6" max="6" width="11.6328125" customWidth="1"/>
  </cols>
  <sheetData>
    <row r="1" spans="1:8" x14ac:dyDescent="0.35">
      <c r="A1" s="1" t="s">
        <v>12</v>
      </c>
    </row>
    <row r="3" spans="1:8" ht="15.5" x14ac:dyDescent="0.35">
      <c r="A3" s="4" t="s">
        <v>11</v>
      </c>
    </row>
    <row r="4" spans="1:8" x14ac:dyDescent="0.35">
      <c r="A4" t="s">
        <v>131</v>
      </c>
    </row>
    <row r="5" spans="1:8" x14ac:dyDescent="0.35">
      <c r="A5" t="s">
        <v>124</v>
      </c>
    </row>
    <row r="7" spans="1:8" x14ac:dyDescent="0.35">
      <c r="H7" t="s">
        <v>18</v>
      </c>
    </row>
    <row r="8" spans="1:8" x14ac:dyDescent="0.35">
      <c r="H8">
        <v>0.06</v>
      </c>
    </row>
    <row r="10" spans="1:8" x14ac:dyDescent="0.35">
      <c r="B10" s="6" t="s">
        <v>13</v>
      </c>
      <c r="C10" s="6" t="s">
        <v>14</v>
      </c>
      <c r="D10" s="7" t="s">
        <v>15</v>
      </c>
      <c r="E10" s="7" t="s">
        <v>16</v>
      </c>
      <c r="F10" s="7" t="s">
        <v>17</v>
      </c>
    </row>
    <row r="11" spans="1:8" x14ac:dyDescent="0.35">
      <c r="B11" s="7">
        <v>1</v>
      </c>
      <c r="C11" s="7">
        <v>80</v>
      </c>
      <c r="D11" s="9">
        <f>C11/(1+$H$8)^B11</f>
        <v>75.471698113207538</v>
      </c>
      <c r="E11" s="24">
        <f>D11/$D$16</f>
        <v>6.9607459298152055E-2</v>
      </c>
      <c r="F11" s="24">
        <f>B11*E11</f>
        <v>6.9607459298152055E-2</v>
      </c>
    </row>
    <row r="12" spans="1:8" x14ac:dyDescent="0.35">
      <c r="B12" s="7">
        <v>2</v>
      </c>
      <c r="C12" s="7">
        <v>80</v>
      </c>
      <c r="D12" s="9">
        <f>C12/(1+$H$8)^B12</f>
        <v>71.199715201139185</v>
      </c>
      <c r="E12" s="24">
        <f t="shared" ref="E12:E15" si="0">D12/$D$16</f>
        <v>6.5667414432218921E-2</v>
      </c>
      <c r="F12" s="24">
        <f t="shared" ref="F12:F15" si="1">B12*E12</f>
        <v>0.13133482886443784</v>
      </c>
    </row>
    <row r="13" spans="1:8" x14ac:dyDescent="0.35">
      <c r="B13" s="7">
        <v>3</v>
      </c>
      <c r="C13" s="7">
        <v>80</v>
      </c>
      <c r="D13" s="9">
        <f t="shared" ref="D13:D15" si="2">C13/(1+$H$8)^B13</f>
        <v>67.169542642584133</v>
      </c>
      <c r="E13" s="24">
        <f t="shared" si="0"/>
        <v>6.195039097379143E-2</v>
      </c>
      <c r="F13" s="24">
        <f t="shared" si="1"/>
        <v>0.18585117292137429</v>
      </c>
    </row>
    <row r="14" spans="1:8" x14ac:dyDescent="0.35">
      <c r="B14" s="7">
        <v>4</v>
      </c>
      <c r="C14" s="7">
        <v>80</v>
      </c>
      <c r="D14" s="9">
        <f t="shared" si="2"/>
        <v>63.367493059041635</v>
      </c>
      <c r="E14" s="24">
        <f t="shared" si="0"/>
        <v>5.8443765069614559E-2</v>
      </c>
      <c r="F14" s="24">
        <f t="shared" si="1"/>
        <v>0.23377506027845824</v>
      </c>
    </row>
    <row r="15" spans="1:8" x14ac:dyDescent="0.35">
      <c r="B15" s="7">
        <v>5</v>
      </c>
      <c r="C15" s="7">
        <v>1080</v>
      </c>
      <c r="D15" s="9">
        <f t="shared" si="2"/>
        <v>807.03882669534141</v>
      </c>
      <c r="E15" s="24">
        <f t="shared" si="0"/>
        <v>0.74433097022622297</v>
      </c>
      <c r="F15" s="24">
        <f t="shared" si="1"/>
        <v>3.7216548511311149</v>
      </c>
    </row>
    <row r="16" spans="1:8" x14ac:dyDescent="0.35">
      <c r="C16" t="s">
        <v>19</v>
      </c>
      <c r="D16" s="2">
        <f>SUM(D11:D15)</f>
        <v>1084.2472757113139</v>
      </c>
      <c r="E16" s="11"/>
      <c r="F16" s="26">
        <f>SUM(F11:F15)</f>
        <v>4.3422233724935371</v>
      </c>
    </row>
    <row r="19" spans="1:3" x14ac:dyDescent="0.35">
      <c r="A19" t="s">
        <v>20</v>
      </c>
      <c r="C19" s="27">
        <f>F16/(1+H8)</f>
        <v>4.0964371438618272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FC673-5E8D-44BC-A65F-B95FD3DC8F8F}">
  <dimension ref="A1:H31"/>
  <sheetViews>
    <sheetView topLeftCell="A4" workbookViewId="0">
      <selection activeCell="D23" sqref="D23"/>
    </sheetView>
  </sheetViews>
  <sheetFormatPr defaultRowHeight="14.5" x14ac:dyDescent="0.35"/>
  <cols>
    <col min="1" max="1" width="7.6328125" customWidth="1"/>
    <col min="7" max="7" width="6.36328125" customWidth="1"/>
  </cols>
  <sheetData>
    <row r="1" spans="1:8" x14ac:dyDescent="0.35">
      <c r="A1" s="1" t="s">
        <v>21</v>
      </c>
    </row>
    <row r="3" spans="1:8" x14ac:dyDescent="0.35">
      <c r="A3" t="s">
        <v>22</v>
      </c>
    </row>
    <row r="4" spans="1:8" x14ac:dyDescent="0.35">
      <c r="G4" s="5" t="s">
        <v>4</v>
      </c>
      <c r="H4">
        <v>0.1</v>
      </c>
    </row>
    <row r="6" spans="1:8" x14ac:dyDescent="0.35">
      <c r="A6" s="8" t="s">
        <v>23</v>
      </c>
      <c r="B6" s="8" t="s">
        <v>24</v>
      </c>
      <c r="C6" s="8" t="s">
        <v>25</v>
      </c>
      <c r="D6" s="7" t="s">
        <v>26</v>
      </c>
      <c r="E6" s="7" t="s">
        <v>27</v>
      </c>
    </row>
    <row r="7" spans="1:8" x14ac:dyDescent="0.35">
      <c r="A7" s="28">
        <v>0</v>
      </c>
      <c r="B7" s="7">
        <v>-250</v>
      </c>
      <c r="C7" s="7">
        <v>-250</v>
      </c>
      <c r="D7" s="7">
        <f>B7/(1+$H$4)^A7</f>
        <v>-250</v>
      </c>
      <c r="E7" s="7">
        <f>C7/(1+$H$4)^A7</f>
        <v>-250</v>
      </c>
    </row>
    <row r="8" spans="1:8" x14ac:dyDescent="0.35">
      <c r="A8" s="28">
        <v>1</v>
      </c>
      <c r="B8" s="7">
        <v>85</v>
      </c>
      <c r="C8" s="7">
        <v>105</v>
      </c>
      <c r="D8" s="29">
        <f t="shared" ref="D8:D11" si="0">B8/(1+$H$4)^A8</f>
        <v>77.272727272727266</v>
      </c>
      <c r="E8" s="29">
        <f t="shared" ref="E8:E10" si="1">C8/(1+$H$4)^A8</f>
        <v>95.454545454545453</v>
      </c>
    </row>
    <row r="9" spans="1:8" x14ac:dyDescent="0.35">
      <c r="A9" s="28">
        <v>2</v>
      </c>
      <c r="B9" s="7">
        <v>85</v>
      </c>
      <c r="C9" s="7">
        <v>105</v>
      </c>
      <c r="D9" s="29">
        <f t="shared" si="0"/>
        <v>70.24793388429751</v>
      </c>
      <c r="E9" s="29">
        <f t="shared" si="1"/>
        <v>86.776859504132219</v>
      </c>
    </row>
    <row r="10" spans="1:8" x14ac:dyDescent="0.35">
      <c r="A10" s="28">
        <v>3</v>
      </c>
      <c r="B10" s="7">
        <v>85</v>
      </c>
      <c r="C10" s="7">
        <v>105</v>
      </c>
      <c r="D10" s="29">
        <f t="shared" si="0"/>
        <v>63.861758076634089</v>
      </c>
      <c r="E10" s="29">
        <f t="shared" si="1"/>
        <v>78.888054094665634</v>
      </c>
    </row>
    <row r="11" spans="1:8" x14ac:dyDescent="0.35">
      <c r="A11" s="28">
        <v>4</v>
      </c>
      <c r="B11" s="7">
        <v>85</v>
      </c>
      <c r="C11" s="7"/>
      <c r="D11" s="29">
        <f t="shared" si="0"/>
        <v>58.056143706030994</v>
      </c>
      <c r="E11" s="29"/>
    </row>
    <row r="12" spans="1:8" x14ac:dyDescent="0.35">
      <c r="A12" s="28" t="s">
        <v>28</v>
      </c>
      <c r="B12" s="7"/>
      <c r="C12" s="7"/>
      <c r="D12" s="29">
        <f>SUM(D7:D11)</f>
        <v>19.438562939689845</v>
      </c>
      <c r="E12" s="29">
        <f>SUM(E7:E11)</f>
        <v>11.119459053343292</v>
      </c>
    </row>
    <row r="14" spans="1:8" x14ac:dyDescent="0.35">
      <c r="A14" t="s">
        <v>35</v>
      </c>
    </row>
    <row r="16" spans="1:8" x14ac:dyDescent="0.35">
      <c r="A16" t="s">
        <v>29</v>
      </c>
      <c r="B16">
        <v>19.399999999999999</v>
      </c>
    </row>
    <row r="17" spans="1:2" x14ac:dyDescent="0.35">
      <c r="A17" t="s">
        <v>30</v>
      </c>
      <c r="B17">
        <v>11.1</v>
      </c>
    </row>
    <row r="19" spans="1:2" x14ac:dyDescent="0.35">
      <c r="A19" t="s">
        <v>36</v>
      </c>
    </row>
    <row r="21" spans="1:2" x14ac:dyDescent="0.35">
      <c r="A21" t="s">
        <v>29</v>
      </c>
      <c r="B21">
        <v>13.7</v>
      </c>
    </row>
    <row r="22" spans="1:2" x14ac:dyDescent="0.35">
      <c r="A22" t="s">
        <v>30</v>
      </c>
      <c r="B22">
        <v>6.6</v>
      </c>
    </row>
    <row r="25" spans="1:2" x14ac:dyDescent="0.35">
      <c r="A25" t="s">
        <v>37</v>
      </c>
    </row>
    <row r="27" spans="1:2" x14ac:dyDescent="0.35">
      <c r="A27" t="s">
        <v>31</v>
      </c>
      <c r="B27" s="10">
        <f>IRR(B7:B11)</f>
        <v>0.13543756701564513</v>
      </c>
    </row>
    <row r="28" spans="1:2" x14ac:dyDescent="0.35">
      <c r="A28" t="s">
        <v>32</v>
      </c>
      <c r="B28" s="10">
        <f>IRR(C7:C11)</f>
        <v>0.12509636496873933</v>
      </c>
    </row>
    <row r="30" spans="1:2" x14ac:dyDescent="0.35">
      <c r="A30" t="s">
        <v>33</v>
      </c>
      <c r="B30">
        <f>D12/250</f>
        <v>7.7754251758759385E-2</v>
      </c>
    </row>
    <row r="31" spans="1:2" x14ac:dyDescent="0.35">
      <c r="A31" t="s">
        <v>34</v>
      </c>
      <c r="B31">
        <f>E12/250</f>
        <v>4.4477836213373166E-2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DFC0-E06E-415D-BA3D-8161508B6C11}">
  <dimension ref="A1:I20"/>
  <sheetViews>
    <sheetView topLeftCell="A7" workbookViewId="0">
      <selection activeCell="D22" sqref="D22"/>
    </sheetView>
  </sheetViews>
  <sheetFormatPr defaultRowHeight="14.5" x14ac:dyDescent="0.35"/>
  <cols>
    <col min="1" max="1" width="10.453125" customWidth="1"/>
    <col min="2" max="2" width="12.54296875" customWidth="1"/>
  </cols>
  <sheetData>
    <row r="1" spans="1:9" x14ac:dyDescent="0.35">
      <c r="A1" s="1" t="s">
        <v>38</v>
      </c>
    </row>
    <row r="3" spans="1:9" x14ac:dyDescent="0.35">
      <c r="A3" t="s">
        <v>118</v>
      </c>
    </row>
    <row r="4" spans="1:9" x14ac:dyDescent="0.35">
      <c r="A4" t="s">
        <v>119</v>
      </c>
    </row>
    <row r="5" spans="1:9" x14ac:dyDescent="0.35">
      <c r="A5" t="s">
        <v>125</v>
      </c>
    </row>
    <row r="6" spans="1:9" x14ac:dyDescent="0.35">
      <c r="A6" t="s">
        <v>120</v>
      </c>
    </row>
    <row r="7" spans="1:9" x14ac:dyDescent="0.35">
      <c r="A7" t="s">
        <v>117</v>
      </c>
    </row>
    <row r="9" spans="1:9" ht="15" thickBot="1" x14ac:dyDescent="0.4"/>
    <row r="10" spans="1:9" ht="15" thickBot="1" x14ac:dyDescent="0.4">
      <c r="A10" s="8"/>
      <c r="B10" s="8">
        <v>0</v>
      </c>
      <c r="C10" s="8">
        <v>1</v>
      </c>
      <c r="D10" s="8">
        <v>2</v>
      </c>
      <c r="E10" s="8">
        <v>3</v>
      </c>
      <c r="F10" s="8">
        <v>4</v>
      </c>
      <c r="H10" s="30" t="s">
        <v>4</v>
      </c>
      <c r="I10" s="31">
        <v>0.14000000000000001</v>
      </c>
    </row>
    <row r="11" spans="1:9" x14ac:dyDescent="0.35">
      <c r="A11" s="32" t="s">
        <v>114</v>
      </c>
      <c r="B11" s="8">
        <v>0</v>
      </c>
      <c r="C11" s="8">
        <v>-55</v>
      </c>
      <c r="D11" s="8">
        <v>-55</v>
      </c>
      <c r="E11" s="8">
        <v>-55</v>
      </c>
      <c r="F11" s="8">
        <v>-55</v>
      </c>
    </row>
    <row r="12" spans="1:9" x14ac:dyDescent="0.35">
      <c r="A12" s="32" t="s">
        <v>19</v>
      </c>
      <c r="B12" s="8">
        <f>B11/(1+$K$113)^B10</f>
        <v>0</v>
      </c>
      <c r="C12" s="9">
        <f>C11/(1+$I$10)^C10</f>
        <v>-48.245614035087712</v>
      </c>
      <c r="D12" s="9">
        <f t="shared" ref="D12:F12" si="0">D11/(1+$I$10)^D10</f>
        <v>-42.320714065866412</v>
      </c>
      <c r="E12" s="9">
        <f t="shared" si="0"/>
        <v>-37.123433391110886</v>
      </c>
      <c r="F12" s="9">
        <f t="shared" si="0"/>
        <v>-32.564415255360416</v>
      </c>
    </row>
    <row r="13" spans="1:9" x14ac:dyDescent="0.35">
      <c r="A13" s="32" t="s">
        <v>28</v>
      </c>
      <c r="B13" s="9">
        <f>SUM(B12:F12)</f>
        <v>-160.25417674742542</v>
      </c>
      <c r="C13" s="8"/>
      <c r="D13" s="8"/>
      <c r="E13" s="8"/>
      <c r="F13" s="8"/>
    </row>
    <row r="14" spans="1:9" x14ac:dyDescent="0.35">
      <c r="A14" s="32" t="s">
        <v>45</v>
      </c>
      <c r="B14" s="33">
        <f>PMT(I10,4,-B13)</f>
        <v>-54.999999999999979</v>
      </c>
      <c r="C14" s="8"/>
      <c r="D14" s="8"/>
      <c r="E14" s="8"/>
      <c r="F14" s="8"/>
    </row>
    <row r="15" spans="1:9" x14ac:dyDescent="0.35">
      <c r="A15" s="1"/>
      <c r="B15" s="27"/>
    </row>
    <row r="16" spans="1:9" x14ac:dyDescent="0.35">
      <c r="A16" s="8"/>
      <c r="B16" s="8">
        <v>0</v>
      </c>
      <c r="C16" s="8">
        <v>1</v>
      </c>
      <c r="D16" s="8">
        <v>2</v>
      </c>
      <c r="E16" s="8">
        <v>3</v>
      </c>
      <c r="F16" s="8">
        <v>4</v>
      </c>
    </row>
    <row r="17" spans="1:6" x14ac:dyDescent="0.35">
      <c r="A17" s="32" t="s">
        <v>115</v>
      </c>
      <c r="B17" s="8">
        <v>-100</v>
      </c>
      <c r="C17" s="8">
        <v>-30</v>
      </c>
      <c r="D17" s="8">
        <v>-30</v>
      </c>
      <c r="E17" s="8">
        <v>-30</v>
      </c>
      <c r="F17" s="8">
        <v>20</v>
      </c>
    </row>
    <row r="18" spans="1:6" x14ac:dyDescent="0.35">
      <c r="A18" s="32" t="s">
        <v>19</v>
      </c>
      <c r="B18" s="8">
        <f>B17/(1+$K$113)^B16</f>
        <v>-100</v>
      </c>
      <c r="C18" s="9">
        <f>C17/(1+$I$10)^C16</f>
        <v>-26.315789473684209</v>
      </c>
      <c r="D18" s="9">
        <f>D17/(1+$I$10)^D16</f>
        <v>-23.084025854108951</v>
      </c>
      <c r="E18" s="9">
        <f>E17/(1+$I$10)^E16</f>
        <v>-20.249145486060481</v>
      </c>
      <c r="F18" s="9">
        <f>F17/(1+$I$10)^F16</f>
        <v>11.841605547403789</v>
      </c>
    </row>
    <row r="19" spans="1:6" x14ac:dyDescent="0.35">
      <c r="A19" s="32" t="s">
        <v>28</v>
      </c>
      <c r="B19" s="9">
        <f>SUM(B18:F18)</f>
        <v>-157.80735526644986</v>
      </c>
      <c r="C19" s="8"/>
      <c r="D19" s="8"/>
      <c r="E19" s="8"/>
      <c r="F19" s="8"/>
    </row>
    <row r="20" spans="1:6" x14ac:dyDescent="0.35">
      <c r="A20" s="32" t="s">
        <v>45</v>
      </c>
      <c r="B20" s="33">
        <f>PMT(I10,4,-B19)</f>
        <v>-54.160239163901721</v>
      </c>
      <c r="C20" s="8"/>
      <c r="D20" s="8"/>
      <c r="E20" s="8"/>
      <c r="F20" s="8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9868F-ECE8-4D6E-86DB-0A11511BF792}">
  <dimension ref="A1:G53"/>
  <sheetViews>
    <sheetView topLeftCell="A34" workbookViewId="0">
      <selection activeCell="I48" sqref="I48"/>
    </sheetView>
  </sheetViews>
  <sheetFormatPr defaultRowHeight="14.5" x14ac:dyDescent="0.35"/>
  <cols>
    <col min="1" max="1" width="22.7265625" customWidth="1"/>
    <col min="2" max="2" width="10.08984375" customWidth="1"/>
    <col min="3" max="3" width="11.1796875" customWidth="1"/>
    <col min="4" max="4" width="11.26953125" customWidth="1"/>
    <col min="5" max="5" width="11.7265625" customWidth="1"/>
    <col min="6" max="6" width="11.26953125" customWidth="1"/>
    <col min="7" max="7" width="11.1796875" customWidth="1"/>
  </cols>
  <sheetData>
    <row r="1" spans="1:7" x14ac:dyDescent="0.35">
      <c r="A1" s="1" t="s">
        <v>46</v>
      </c>
    </row>
    <row r="3" spans="1:7" x14ac:dyDescent="0.35">
      <c r="A3" t="s">
        <v>126</v>
      </c>
    </row>
    <row r="4" spans="1:7" x14ac:dyDescent="0.35">
      <c r="A4" t="s">
        <v>49</v>
      </c>
      <c r="B4" s="13">
        <v>10000</v>
      </c>
      <c r="C4" t="s">
        <v>55</v>
      </c>
    </row>
    <row r="5" spans="1:7" x14ac:dyDescent="0.35">
      <c r="A5" t="s">
        <v>50</v>
      </c>
      <c r="B5" s="14">
        <v>50</v>
      </c>
    </row>
    <row r="6" spans="1:7" x14ac:dyDescent="0.35">
      <c r="A6" t="s">
        <v>51</v>
      </c>
      <c r="B6" s="14">
        <v>20</v>
      </c>
    </row>
    <row r="7" spans="1:7" x14ac:dyDescent="0.35">
      <c r="A7" t="s">
        <v>52</v>
      </c>
      <c r="B7" s="15">
        <v>100000</v>
      </c>
    </row>
    <row r="9" spans="1:7" x14ac:dyDescent="0.35">
      <c r="A9" t="s">
        <v>70</v>
      </c>
    </row>
    <row r="10" spans="1:7" x14ac:dyDescent="0.35">
      <c r="A10" t="s">
        <v>53</v>
      </c>
    </row>
    <row r="11" spans="1:7" x14ac:dyDescent="0.35">
      <c r="A11" t="s">
        <v>72</v>
      </c>
    </row>
    <row r="12" spans="1:7" x14ac:dyDescent="0.35">
      <c r="A12" t="s">
        <v>132</v>
      </c>
    </row>
    <row r="14" spans="1:7" x14ac:dyDescent="0.35">
      <c r="A14" t="s">
        <v>54</v>
      </c>
    </row>
    <row r="15" spans="1:7" x14ac:dyDescent="0.35">
      <c r="A15" s="12"/>
    </row>
    <row r="16" spans="1:7" x14ac:dyDescent="0.35">
      <c r="A16" s="16" t="s">
        <v>43</v>
      </c>
      <c r="B16" s="17">
        <v>0</v>
      </c>
      <c r="C16" s="17">
        <v>1</v>
      </c>
      <c r="D16" s="17">
        <v>2</v>
      </c>
      <c r="E16" s="17">
        <v>3</v>
      </c>
      <c r="F16" s="17">
        <v>4</v>
      </c>
      <c r="G16" s="17">
        <v>5</v>
      </c>
    </row>
    <row r="17" spans="1:7" x14ac:dyDescent="0.35">
      <c r="A17" s="16" t="s">
        <v>56</v>
      </c>
      <c r="B17" s="18">
        <v>500000</v>
      </c>
      <c r="C17" s="18"/>
      <c r="D17" s="18"/>
      <c r="E17" s="18"/>
      <c r="F17" s="18"/>
      <c r="G17" s="18"/>
    </row>
    <row r="18" spans="1:7" x14ac:dyDescent="0.35">
      <c r="A18" s="16" t="s">
        <v>57</v>
      </c>
      <c r="B18" s="18"/>
      <c r="C18" s="18">
        <v>10000</v>
      </c>
      <c r="D18" s="18">
        <v>10000</v>
      </c>
      <c r="E18" s="18">
        <v>10000</v>
      </c>
      <c r="F18" s="18">
        <v>10000</v>
      </c>
      <c r="G18" s="18">
        <v>10000</v>
      </c>
    </row>
    <row r="19" spans="1:7" x14ac:dyDescent="0.35">
      <c r="A19" s="16" t="s">
        <v>50</v>
      </c>
      <c r="B19" s="18">
        <v>50</v>
      </c>
      <c r="C19" s="18"/>
      <c r="D19" s="18"/>
      <c r="E19" s="18"/>
      <c r="F19" s="18"/>
      <c r="G19" s="18"/>
    </row>
    <row r="20" spans="1:7" x14ac:dyDescent="0.35">
      <c r="A20" s="16" t="s">
        <v>58</v>
      </c>
      <c r="B20" s="18"/>
      <c r="C20" s="18">
        <f>C18*$B19</f>
        <v>500000</v>
      </c>
      <c r="D20" s="18">
        <f t="shared" ref="D20:G20" si="0">D18*$B19</f>
        <v>500000</v>
      </c>
      <c r="E20" s="18">
        <f t="shared" si="0"/>
        <v>500000</v>
      </c>
      <c r="F20" s="18">
        <f t="shared" si="0"/>
        <v>500000</v>
      </c>
      <c r="G20" s="18">
        <f t="shared" si="0"/>
        <v>500000</v>
      </c>
    </row>
    <row r="21" spans="1:7" x14ac:dyDescent="0.35">
      <c r="A21" s="16" t="s">
        <v>59</v>
      </c>
      <c r="B21" s="18">
        <v>20</v>
      </c>
      <c r="C21" s="18"/>
      <c r="D21" s="18"/>
      <c r="E21" s="18"/>
      <c r="F21" s="18"/>
      <c r="G21" s="18"/>
    </row>
    <row r="22" spans="1:7" x14ac:dyDescent="0.35">
      <c r="A22" s="16" t="s">
        <v>60</v>
      </c>
      <c r="B22" s="18"/>
      <c r="C22" s="18">
        <f>C18*$B21</f>
        <v>200000</v>
      </c>
      <c r="D22" s="18">
        <f t="shared" ref="D22:G22" si="1">D18*$B21</f>
        <v>200000</v>
      </c>
      <c r="E22" s="18">
        <f t="shared" si="1"/>
        <v>200000</v>
      </c>
      <c r="F22" s="18">
        <f t="shared" si="1"/>
        <v>200000</v>
      </c>
      <c r="G22" s="18">
        <f t="shared" si="1"/>
        <v>200000</v>
      </c>
    </row>
    <row r="23" spans="1:7" x14ac:dyDescent="0.35">
      <c r="A23" s="16" t="s">
        <v>61</v>
      </c>
      <c r="B23" s="18"/>
      <c r="C23" s="18">
        <v>100000</v>
      </c>
      <c r="D23" s="18">
        <v>100000</v>
      </c>
      <c r="E23" s="18">
        <v>100000</v>
      </c>
      <c r="F23" s="18">
        <v>100000</v>
      </c>
      <c r="G23" s="18">
        <v>100000</v>
      </c>
    </row>
    <row r="24" spans="1:7" x14ac:dyDescent="0.35">
      <c r="A24" s="16" t="s">
        <v>62</v>
      </c>
      <c r="B24" s="18"/>
      <c r="C24" s="18">
        <f>$B17/5</f>
        <v>100000</v>
      </c>
      <c r="D24" s="18">
        <f t="shared" ref="D24:G24" si="2">$B17/5</f>
        <v>100000</v>
      </c>
      <c r="E24" s="18">
        <f t="shared" si="2"/>
        <v>100000</v>
      </c>
      <c r="F24" s="18">
        <f t="shared" si="2"/>
        <v>100000</v>
      </c>
      <c r="G24" s="18">
        <f t="shared" si="2"/>
        <v>100000</v>
      </c>
    </row>
    <row r="25" spans="1:7" x14ac:dyDescent="0.35">
      <c r="A25" s="16" t="s">
        <v>63</v>
      </c>
      <c r="B25" s="19">
        <v>0.3</v>
      </c>
      <c r="C25" s="18"/>
      <c r="D25" s="18"/>
      <c r="E25" s="18"/>
      <c r="F25" s="18"/>
      <c r="G25" s="18"/>
    </row>
    <row r="26" spans="1:7" x14ac:dyDescent="0.35">
      <c r="A26" s="16" t="s">
        <v>64</v>
      </c>
      <c r="B26" s="19">
        <f>0.12</f>
        <v>0.12</v>
      </c>
      <c r="C26" s="18"/>
      <c r="D26" s="18"/>
      <c r="E26" s="18"/>
      <c r="F26" s="18"/>
      <c r="G26" s="18"/>
    </row>
    <row r="27" spans="1:7" x14ac:dyDescent="0.35">
      <c r="A27" s="16" t="s">
        <v>65</v>
      </c>
      <c r="B27" s="18"/>
      <c r="C27" s="18">
        <f>C20-C22-C23-C24</f>
        <v>100000</v>
      </c>
      <c r="D27" s="18">
        <f t="shared" ref="D27:G27" si="3">D20-D22-D23-D24</f>
        <v>100000</v>
      </c>
      <c r="E27" s="18">
        <f t="shared" si="3"/>
        <v>100000</v>
      </c>
      <c r="F27" s="18">
        <f t="shared" si="3"/>
        <v>100000</v>
      </c>
      <c r="G27" s="18">
        <f t="shared" si="3"/>
        <v>100000</v>
      </c>
    </row>
    <row r="28" spans="1:7" x14ac:dyDescent="0.35">
      <c r="A28" s="16" t="s">
        <v>66</v>
      </c>
      <c r="B28" s="18"/>
      <c r="C28" s="18">
        <f>C27*$B25</f>
        <v>30000</v>
      </c>
      <c r="D28" s="18">
        <f t="shared" ref="D28:G28" si="4">D27*$B25</f>
        <v>30000</v>
      </c>
      <c r="E28" s="18">
        <f t="shared" si="4"/>
        <v>30000</v>
      </c>
      <c r="F28" s="18">
        <f t="shared" si="4"/>
        <v>30000</v>
      </c>
      <c r="G28" s="18">
        <f t="shared" si="4"/>
        <v>30000</v>
      </c>
    </row>
    <row r="29" spans="1:7" x14ac:dyDescent="0.35">
      <c r="A29" s="16" t="s">
        <v>67</v>
      </c>
      <c r="B29" s="18"/>
      <c r="C29" s="18">
        <f>C27-C28</f>
        <v>70000</v>
      </c>
      <c r="D29" s="18">
        <f t="shared" ref="D29:G29" si="5">D27-D28</f>
        <v>70000</v>
      </c>
      <c r="E29" s="18">
        <f t="shared" si="5"/>
        <v>70000</v>
      </c>
      <c r="F29" s="18">
        <f t="shared" si="5"/>
        <v>70000</v>
      </c>
      <c r="G29" s="18">
        <f t="shared" si="5"/>
        <v>70000</v>
      </c>
    </row>
    <row r="30" spans="1:7" x14ac:dyDescent="0.35">
      <c r="A30" s="16" t="s">
        <v>68</v>
      </c>
      <c r="B30" s="18">
        <f>B29+B24-B17</f>
        <v>-500000</v>
      </c>
      <c r="C30" s="18">
        <f>C29+C24-C17</f>
        <v>170000</v>
      </c>
      <c r="D30" s="18">
        <f>D29+D24-D17</f>
        <v>170000</v>
      </c>
      <c r="E30" s="18">
        <f t="shared" ref="E30:G30" si="6">E29+E24-E17</f>
        <v>170000</v>
      </c>
      <c r="F30" s="18">
        <f t="shared" si="6"/>
        <v>170000</v>
      </c>
      <c r="G30" s="18">
        <f t="shared" si="6"/>
        <v>170000</v>
      </c>
    </row>
    <row r="31" spans="1:7" x14ac:dyDescent="0.35">
      <c r="A31" s="16" t="s">
        <v>69</v>
      </c>
      <c r="B31" s="18">
        <f>B30/(1+$B26)^B16</f>
        <v>-500000</v>
      </c>
      <c r="C31" s="19">
        <f>C30/(1+$B26)^C16</f>
        <v>151785.71428571426</v>
      </c>
      <c r="D31" s="19">
        <f t="shared" ref="D31:G31" si="7">D30/(1+$B26)^D16</f>
        <v>135522.95918367346</v>
      </c>
      <c r="E31" s="19">
        <f t="shared" si="7"/>
        <v>121002.64212827985</v>
      </c>
      <c r="F31" s="19">
        <f t="shared" si="7"/>
        <v>108038.07332882129</v>
      </c>
      <c r="G31" s="19">
        <f t="shared" si="7"/>
        <v>96462.565472161863</v>
      </c>
    </row>
    <row r="32" spans="1:7" x14ac:dyDescent="0.35">
      <c r="A32" s="16" t="s">
        <v>28</v>
      </c>
      <c r="B32" s="18">
        <f>SUM(B31:G31)</f>
        <v>112811.95439865073</v>
      </c>
      <c r="C32" s="18"/>
      <c r="D32" s="18"/>
      <c r="E32" s="18"/>
      <c r="F32" s="18"/>
      <c r="G32" s="18"/>
    </row>
    <row r="35" spans="1:7" x14ac:dyDescent="0.35">
      <c r="A35" t="s">
        <v>71</v>
      </c>
    </row>
    <row r="37" spans="1:7" x14ac:dyDescent="0.35">
      <c r="A37" s="16" t="s">
        <v>43</v>
      </c>
      <c r="B37" s="17">
        <v>0</v>
      </c>
      <c r="C37" s="17">
        <v>1</v>
      </c>
      <c r="D37" s="17">
        <v>2</v>
      </c>
      <c r="E37" s="17">
        <v>3</v>
      </c>
      <c r="F37" s="17">
        <v>4</v>
      </c>
      <c r="G37" s="17">
        <v>5</v>
      </c>
    </row>
    <row r="38" spans="1:7" x14ac:dyDescent="0.35">
      <c r="A38" s="16" t="s">
        <v>56</v>
      </c>
      <c r="B38" s="18">
        <v>500000</v>
      </c>
      <c r="C38" s="18"/>
      <c r="D38" s="18"/>
      <c r="E38" s="18"/>
      <c r="F38" s="18"/>
      <c r="G38" s="18"/>
    </row>
    <row r="39" spans="1:7" x14ac:dyDescent="0.35">
      <c r="A39" s="16" t="s">
        <v>57</v>
      </c>
      <c r="B39" s="18"/>
      <c r="C39" s="18">
        <f>10000*0.7</f>
        <v>7000</v>
      </c>
      <c r="D39" s="18">
        <f>10000*0.7</f>
        <v>7000</v>
      </c>
      <c r="E39" s="18">
        <f t="shared" ref="E39:G39" si="8">10000*0.7</f>
        <v>7000</v>
      </c>
      <c r="F39" s="18">
        <f t="shared" si="8"/>
        <v>7000</v>
      </c>
      <c r="G39" s="18">
        <f t="shared" si="8"/>
        <v>7000</v>
      </c>
    </row>
    <row r="40" spans="1:7" x14ac:dyDescent="0.35">
      <c r="A40" s="16" t="s">
        <v>50</v>
      </c>
      <c r="B40" s="20">
        <v>40</v>
      </c>
      <c r="C40" s="18"/>
      <c r="D40" s="18"/>
      <c r="E40" s="18"/>
      <c r="F40" s="18"/>
      <c r="G40" s="18"/>
    </row>
    <row r="41" spans="1:7" x14ac:dyDescent="0.35">
      <c r="A41" s="16" t="s">
        <v>58</v>
      </c>
      <c r="B41" s="18"/>
      <c r="C41" s="18">
        <f>C39*$B40</f>
        <v>280000</v>
      </c>
      <c r="D41" s="18">
        <f t="shared" ref="D41:G41" si="9">D39*$B40</f>
        <v>280000</v>
      </c>
      <c r="E41" s="18">
        <f t="shared" si="9"/>
        <v>280000</v>
      </c>
      <c r="F41" s="18">
        <f t="shared" si="9"/>
        <v>280000</v>
      </c>
      <c r="G41" s="18">
        <f t="shared" si="9"/>
        <v>280000</v>
      </c>
    </row>
    <row r="42" spans="1:7" x14ac:dyDescent="0.35">
      <c r="A42" s="16" t="s">
        <v>59</v>
      </c>
      <c r="B42" s="20">
        <f>20*0.8</f>
        <v>16</v>
      </c>
      <c r="C42" s="18"/>
      <c r="D42" s="18"/>
      <c r="E42" s="18"/>
      <c r="F42" s="18"/>
      <c r="G42" s="18"/>
    </row>
    <row r="43" spans="1:7" x14ac:dyDescent="0.35">
      <c r="A43" s="16" t="s">
        <v>60</v>
      </c>
      <c r="B43" s="18"/>
      <c r="C43" s="18">
        <f>C39*$B42</f>
        <v>112000</v>
      </c>
      <c r="D43" s="18">
        <f t="shared" ref="D43:G43" si="10">D39*$B42</f>
        <v>112000</v>
      </c>
      <c r="E43" s="18">
        <f t="shared" si="10"/>
        <v>112000</v>
      </c>
      <c r="F43" s="18">
        <f t="shared" si="10"/>
        <v>112000</v>
      </c>
      <c r="G43" s="18">
        <f t="shared" si="10"/>
        <v>112000</v>
      </c>
    </row>
    <row r="44" spans="1:7" x14ac:dyDescent="0.35">
      <c r="A44" s="16" t="s">
        <v>61</v>
      </c>
      <c r="B44" s="18"/>
      <c r="C44" s="20">
        <v>80000</v>
      </c>
      <c r="D44" s="20">
        <v>80000</v>
      </c>
      <c r="E44" s="20">
        <v>80000</v>
      </c>
      <c r="F44" s="20">
        <v>80000</v>
      </c>
      <c r="G44" s="20">
        <v>80000</v>
      </c>
    </row>
    <row r="45" spans="1:7" x14ac:dyDescent="0.35">
      <c r="A45" s="16" t="s">
        <v>62</v>
      </c>
      <c r="B45" s="18"/>
      <c r="C45" s="18">
        <f>$B38/5</f>
        <v>100000</v>
      </c>
      <c r="D45" s="18">
        <f>$B38/5</f>
        <v>100000</v>
      </c>
      <c r="E45" s="18">
        <f t="shared" ref="E45:G45" si="11">$B38/5</f>
        <v>100000</v>
      </c>
      <c r="F45" s="18">
        <f t="shared" si="11"/>
        <v>100000</v>
      </c>
      <c r="G45" s="18">
        <f t="shared" si="11"/>
        <v>100000</v>
      </c>
    </row>
    <row r="46" spans="1:7" x14ac:dyDescent="0.35">
      <c r="A46" s="16" t="s">
        <v>63</v>
      </c>
      <c r="B46" s="19">
        <v>0.3</v>
      </c>
      <c r="C46" s="18"/>
      <c r="D46" s="18"/>
      <c r="E46" s="18"/>
      <c r="F46" s="18"/>
      <c r="G46" s="18"/>
    </row>
    <row r="47" spans="1:7" x14ac:dyDescent="0.35">
      <c r="A47" s="16" t="s">
        <v>64</v>
      </c>
      <c r="B47" s="19">
        <f>0.12</f>
        <v>0.12</v>
      </c>
      <c r="C47" s="18"/>
      <c r="D47" s="18"/>
      <c r="E47" s="18"/>
      <c r="F47" s="18"/>
      <c r="G47" s="18"/>
    </row>
    <row r="48" spans="1:7" x14ac:dyDescent="0.35">
      <c r="A48" s="16" t="s">
        <v>65</v>
      </c>
      <c r="B48" s="18"/>
      <c r="C48" s="18">
        <f>C41-C43-C44-C45</f>
        <v>-12000</v>
      </c>
      <c r="D48" s="18">
        <f t="shared" ref="D48:G48" si="12">D41-D43-D44-D45</f>
        <v>-12000</v>
      </c>
      <c r="E48" s="18">
        <f t="shared" si="12"/>
        <v>-12000</v>
      </c>
      <c r="F48" s="18">
        <f t="shared" si="12"/>
        <v>-12000</v>
      </c>
      <c r="G48" s="18">
        <f t="shared" si="12"/>
        <v>-12000</v>
      </c>
    </row>
    <row r="49" spans="1:7" x14ac:dyDescent="0.35">
      <c r="A49" s="16" t="s">
        <v>66</v>
      </c>
      <c r="B49" s="18"/>
      <c r="C49" s="18">
        <f>C48*$B46</f>
        <v>-3600</v>
      </c>
      <c r="D49" s="18">
        <f t="shared" ref="D49:G49" si="13">D48*$B46</f>
        <v>-3600</v>
      </c>
      <c r="E49" s="18">
        <f t="shared" si="13"/>
        <v>-3600</v>
      </c>
      <c r="F49" s="18">
        <f t="shared" si="13"/>
        <v>-3600</v>
      </c>
      <c r="G49" s="18">
        <f t="shared" si="13"/>
        <v>-3600</v>
      </c>
    </row>
    <row r="50" spans="1:7" x14ac:dyDescent="0.35">
      <c r="A50" s="16" t="s">
        <v>67</v>
      </c>
      <c r="B50" s="18"/>
      <c r="C50" s="18">
        <f>C48-C49</f>
        <v>-8400</v>
      </c>
      <c r="D50" s="18">
        <f t="shared" ref="D50:G50" si="14">D48-D49</f>
        <v>-8400</v>
      </c>
      <c r="E50" s="18">
        <f t="shared" si="14"/>
        <v>-8400</v>
      </c>
      <c r="F50" s="18">
        <f t="shared" si="14"/>
        <v>-8400</v>
      </c>
      <c r="G50" s="18">
        <f t="shared" si="14"/>
        <v>-8400</v>
      </c>
    </row>
    <row r="51" spans="1:7" x14ac:dyDescent="0.35">
      <c r="A51" s="16" t="s">
        <v>68</v>
      </c>
      <c r="B51" s="18">
        <f>B50+B45-B38</f>
        <v>-500000</v>
      </c>
      <c r="C51" s="18">
        <f>C50+C45-C38</f>
        <v>91600</v>
      </c>
      <c r="D51" s="18">
        <f t="shared" ref="D51:G51" si="15">D50+D45-D38</f>
        <v>91600</v>
      </c>
      <c r="E51" s="18">
        <f t="shared" si="15"/>
        <v>91600</v>
      </c>
      <c r="F51" s="18">
        <f t="shared" si="15"/>
        <v>91600</v>
      </c>
      <c r="G51" s="18">
        <f t="shared" si="15"/>
        <v>91600</v>
      </c>
    </row>
    <row r="52" spans="1:7" x14ac:dyDescent="0.35">
      <c r="A52" s="16" t="s">
        <v>69</v>
      </c>
      <c r="B52" s="18">
        <f>B51/(1+$B47)^B37</f>
        <v>-500000</v>
      </c>
      <c r="C52" s="19">
        <f>C51/(1+$B47)^C37</f>
        <v>81785.714285714275</v>
      </c>
      <c r="D52" s="19">
        <f t="shared" ref="D52:G52" si="16">D51/(1+$B47)^D37</f>
        <v>73022.959183673462</v>
      </c>
      <c r="E52" s="19">
        <f t="shared" si="16"/>
        <v>65199.070699708434</v>
      </c>
      <c r="F52" s="19">
        <f t="shared" si="16"/>
        <v>58213.455981882536</v>
      </c>
      <c r="G52" s="19">
        <f t="shared" si="16"/>
        <v>51976.299983823686</v>
      </c>
    </row>
    <row r="53" spans="1:7" x14ac:dyDescent="0.35">
      <c r="A53" s="16" t="s">
        <v>28</v>
      </c>
      <c r="B53" s="18">
        <f>SUM(B52:G52)</f>
        <v>-169802.49986519769</v>
      </c>
      <c r="C53" s="18"/>
      <c r="D53" s="18"/>
      <c r="E53" s="18"/>
      <c r="F53" s="18"/>
      <c r="G53" s="18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777D2-7A95-4ED0-BC88-EF22887E92A5}">
  <dimension ref="A1:J27"/>
  <sheetViews>
    <sheetView topLeftCell="A10" workbookViewId="0">
      <selection activeCell="F11" sqref="F11"/>
    </sheetView>
  </sheetViews>
  <sheetFormatPr defaultRowHeight="14.5" x14ac:dyDescent="0.35"/>
  <cols>
    <col min="1" max="1" width="11.90625" customWidth="1"/>
    <col min="3" max="3" width="12.1796875" customWidth="1"/>
    <col min="7" max="7" width="11.26953125" customWidth="1"/>
  </cols>
  <sheetData>
    <row r="1" spans="1:10" x14ac:dyDescent="0.35">
      <c r="A1" s="1" t="s">
        <v>47</v>
      </c>
    </row>
    <row r="3" spans="1:10" x14ac:dyDescent="0.35">
      <c r="A3" t="s">
        <v>73</v>
      </c>
    </row>
    <row r="4" spans="1:10" x14ac:dyDescent="0.35">
      <c r="A4" t="s">
        <v>127</v>
      </c>
    </row>
    <row r="5" spans="1:10" x14ac:dyDescent="0.35">
      <c r="A5" t="s">
        <v>128</v>
      </c>
    </row>
    <row r="6" spans="1:10" x14ac:dyDescent="0.35">
      <c r="A6" t="s">
        <v>129</v>
      </c>
    </row>
    <row r="7" spans="1:10" x14ac:dyDescent="0.35">
      <c r="A7" t="s">
        <v>133</v>
      </c>
    </row>
    <row r="8" spans="1:10" x14ac:dyDescent="0.35">
      <c r="A8" t="s">
        <v>134</v>
      </c>
    </row>
    <row r="11" spans="1:10" x14ac:dyDescent="0.35">
      <c r="B11" s="5" t="s">
        <v>78</v>
      </c>
      <c r="C11" s="5" t="s">
        <v>77</v>
      </c>
      <c r="D11" s="5" t="s">
        <v>79</v>
      </c>
      <c r="H11" s="5" t="s">
        <v>86</v>
      </c>
      <c r="I11" s="5" t="s">
        <v>87</v>
      </c>
      <c r="J11" s="5" t="s">
        <v>88</v>
      </c>
    </row>
    <row r="12" spans="1:10" x14ac:dyDescent="0.35">
      <c r="A12" t="s">
        <v>74</v>
      </c>
      <c r="B12" s="5">
        <v>0.15</v>
      </c>
      <c r="C12" s="5">
        <v>0.06</v>
      </c>
      <c r="D12" s="5">
        <v>0.2</v>
      </c>
      <c r="G12" t="s">
        <v>85</v>
      </c>
      <c r="H12" s="5">
        <v>-0.5</v>
      </c>
      <c r="I12" s="5">
        <v>0.05</v>
      </c>
      <c r="J12" s="5">
        <v>0.9</v>
      </c>
    </row>
    <row r="13" spans="1:10" x14ac:dyDescent="0.35">
      <c r="A13" t="s">
        <v>75</v>
      </c>
      <c r="B13" s="5">
        <v>0.65</v>
      </c>
      <c r="C13" s="5">
        <v>0.25</v>
      </c>
      <c r="D13" s="5">
        <v>0.15</v>
      </c>
    </row>
    <row r="14" spans="1:10" x14ac:dyDescent="0.35">
      <c r="A14" t="s">
        <v>76</v>
      </c>
      <c r="B14" s="5">
        <v>0.25</v>
      </c>
      <c r="C14" s="5">
        <v>0.13</v>
      </c>
      <c r="D14" s="5">
        <v>0.25</v>
      </c>
    </row>
    <row r="16" spans="1:10" x14ac:dyDescent="0.35">
      <c r="A16" t="s">
        <v>80</v>
      </c>
      <c r="C16">
        <f>B12*C12+B13*C13+B14*C14</f>
        <v>0.20400000000000001</v>
      </c>
      <c r="E16" s="21">
        <v>0.20399999999999999</v>
      </c>
    </row>
    <row r="19" spans="1:4" x14ac:dyDescent="0.35">
      <c r="A19" t="s">
        <v>81</v>
      </c>
    </row>
    <row r="21" spans="1:4" x14ac:dyDescent="0.35">
      <c r="B21" t="s">
        <v>82</v>
      </c>
      <c r="C21" t="s">
        <v>83</v>
      </c>
      <c r="D21" t="s">
        <v>84</v>
      </c>
    </row>
    <row r="22" spans="1:4" x14ac:dyDescent="0.35">
      <c r="A22" t="s">
        <v>82</v>
      </c>
      <c r="B22" s="22">
        <f>B12^2*D12^2</f>
        <v>9.0000000000000019E-4</v>
      </c>
      <c r="C22" s="22">
        <f>B12*B13*H12*D12*D13</f>
        <v>-1.4625000000000003E-3</v>
      </c>
      <c r="D22" s="22">
        <f>B12*B14*J12*D12*D14</f>
        <v>1.6875000000000002E-3</v>
      </c>
    </row>
    <row r="23" spans="1:4" x14ac:dyDescent="0.35">
      <c r="A23" t="s">
        <v>83</v>
      </c>
      <c r="B23" s="22">
        <v>-1.4625E-3</v>
      </c>
      <c r="C23" s="22">
        <f>B13^2*D13^2</f>
        <v>9.5062500000000008E-3</v>
      </c>
      <c r="D23" s="22">
        <f>B13*B14*I12*D13*D14</f>
        <v>3.046875E-4</v>
      </c>
    </row>
    <row r="24" spans="1:4" x14ac:dyDescent="0.35">
      <c r="A24" t="s">
        <v>84</v>
      </c>
      <c r="B24" s="22">
        <v>1.6875000000000002E-3</v>
      </c>
      <c r="C24" s="22">
        <v>3.046875E-4</v>
      </c>
      <c r="D24" s="22">
        <f>B14^2*D14^2</f>
        <v>3.90625E-3</v>
      </c>
    </row>
    <row r="26" spans="1:4" x14ac:dyDescent="0.35">
      <c r="A26" t="s">
        <v>89</v>
      </c>
      <c r="B26" s="23">
        <f>SUM(B22:D24)</f>
        <v>1.5371875E-2</v>
      </c>
    </row>
    <row r="27" spans="1:4" x14ac:dyDescent="0.35">
      <c r="A27" t="s">
        <v>90</v>
      </c>
      <c r="B27">
        <f>SQRT(B26)</f>
        <v>0.12398336581977439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DABA2-5F63-40FD-BF43-95EE3F76A274}">
  <dimension ref="A1:G36"/>
  <sheetViews>
    <sheetView topLeftCell="A25" workbookViewId="0">
      <selection activeCell="G18" sqref="G18"/>
    </sheetView>
  </sheetViews>
  <sheetFormatPr defaultRowHeight="14.5" x14ac:dyDescent="0.35"/>
  <cols>
    <col min="1" max="1" width="24.26953125" customWidth="1"/>
  </cols>
  <sheetData>
    <row r="1" spans="1:7" x14ac:dyDescent="0.35">
      <c r="A1" s="1" t="s">
        <v>48</v>
      </c>
    </row>
    <row r="3" spans="1:7" x14ac:dyDescent="0.35">
      <c r="A3" t="s">
        <v>116</v>
      </c>
    </row>
    <row r="4" spans="1:7" x14ac:dyDescent="0.35">
      <c r="A4" t="s">
        <v>121</v>
      </c>
    </row>
    <row r="5" spans="1:7" x14ac:dyDescent="0.35">
      <c r="A5" t="s">
        <v>130</v>
      </c>
    </row>
    <row r="7" spans="1:7" x14ac:dyDescent="0.35">
      <c r="A7" t="s">
        <v>135</v>
      </c>
    </row>
    <row r="8" spans="1:7" x14ac:dyDescent="0.35">
      <c r="A8" t="s">
        <v>113</v>
      </c>
    </row>
    <row r="10" spans="1:7" x14ac:dyDescent="0.35">
      <c r="A10" s="25" t="s">
        <v>43</v>
      </c>
      <c r="B10" s="25">
        <v>0</v>
      </c>
      <c r="C10" s="25">
        <v>1</v>
      </c>
      <c r="D10" s="25">
        <v>2</v>
      </c>
      <c r="E10" s="25">
        <v>3</v>
      </c>
      <c r="F10" s="25">
        <v>4</v>
      </c>
      <c r="G10" s="25">
        <v>5</v>
      </c>
    </row>
    <row r="11" spans="1:7" x14ac:dyDescent="0.35">
      <c r="A11" s="25" t="s">
        <v>91</v>
      </c>
      <c r="B11" s="25">
        <v>5000</v>
      </c>
      <c r="C11" s="25"/>
      <c r="D11" s="25"/>
      <c r="E11" s="25"/>
      <c r="F11" s="25"/>
      <c r="G11" s="25"/>
    </row>
    <row r="12" spans="1:7" x14ac:dyDescent="0.35">
      <c r="A12" s="25" t="s">
        <v>92</v>
      </c>
      <c r="B12" s="25">
        <v>650</v>
      </c>
      <c r="C12" s="25">
        <v>650</v>
      </c>
      <c r="D12" s="25">
        <v>650</v>
      </c>
      <c r="E12" s="25">
        <v>650</v>
      </c>
      <c r="F12" s="25">
        <v>650</v>
      </c>
      <c r="G12" s="25">
        <v>650</v>
      </c>
    </row>
    <row r="13" spans="1:7" x14ac:dyDescent="0.35">
      <c r="A13" s="25"/>
      <c r="B13" s="25"/>
      <c r="C13" s="25"/>
      <c r="D13" s="25"/>
      <c r="E13" s="25"/>
      <c r="F13" s="25"/>
      <c r="G13" s="25"/>
    </row>
    <row r="14" spans="1:7" x14ac:dyDescent="0.35">
      <c r="A14" s="25" t="s">
        <v>93</v>
      </c>
      <c r="B14" s="25">
        <v>0.09</v>
      </c>
      <c r="C14" s="25"/>
      <c r="D14" s="25"/>
      <c r="E14" s="25"/>
      <c r="F14" s="25"/>
      <c r="G14" s="25"/>
    </row>
    <row r="15" spans="1:7" x14ac:dyDescent="0.35">
      <c r="A15" s="25" t="s">
        <v>94</v>
      </c>
      <c r="B15" s="25">
        <v>0.21</v>
      </c>
      <c r="C15" s="25"/>
      <c r="D15" s="25"/>
      <c r="E15" s="25"/>
      <c r="F15" s="25"/>
      <c r="G15" s="25"/>
    </row>
    <row r="16" spans="1:7" x14ac:dyDescent="0.35">
      <c r="A16" s="25" t="s">
        <v>3</v>
      </c>
      <c r="B16" s="25">
        <v>6</v>
      </c>
      <c r="C16" s="25"/>
      <c r="D16" s="25"/>
      <c r="E16" s="25"/>
      <c r="F16" s="25"/>
      <c r="G16" s="25"/>
    </row>
    <row r="17" spans="1:7" x14ac:dyDescent="0.35">
      <c r="A17" s="25"/>
      <c r="B17" s="25"/>
      <c r="C17" s="25"/>
      <c r="D17" s="25"/>
      <c r="E17" s="25"/>
      <c r="F17" s="25"/>
      <c r="G17" s="25"/>
    </row>
    <row r="18" spans="1:7" x14ac:dyDescent="0.35">
      <c r="A18" s="25" t="s">
        <v>95</v>
      </c>
      <c r="B18" s="25">
        <f>B11*B15</f>
        <v>1050</v>
      </c>
      <c r="C18" s="25"/>
      <c r="D18" s="25"/>
      <c r="E18" s="25"/>
      <c r="F18" s="25"/>
      <c r="G18" s="25"/>
    </row>
    <row r="19" spans="1:7" x14ac:dyDescent="0.35">
      <c r="A19" s="25" t="s">
        <v>96</v>
      </c>
      <c r="B19" s="25">
        <f>B12*B15</f>
        <v>136.5</v>
      </c>
      <c r="C19" s="25">
        <v>136.5</v>
      </c>
      <c r="D19" s="25">
        <v>136.5</v>
      </c>
      <c r="E19" s="25">
        <v>136.5</v>
      </c>
      <c r="F19" s="25">
        <v>136.5</v>
      </c>
      <c r="G19" s="25">
        <v>136.5</v>
      </c>
    </row>
    <row r="20" spans="1:7" x14ac:dyDescent="0.35">
      <c r="A20" s="25"/>
      <c r="B20" s="25"/>
      <c r="C20" s="25"/>
      <c r="D20" s="25"/>
      <c r="E20" s="25"/>
      <c r="F20" s="25"/>
      <c r="G20" s="25"/>
    </row>
    <row r="21" spans="1:7" x14ac:dyDescent="0.35">
      <c r="A21" s="25" t="s">
        <v>97</v>
      </c>
      <c r="B21" s="25">
        <f>B11-B18</f>
        <v>3950</v>
      </c>
      <c r="C21" s="25"/>
      <c r="D21" s="25"/>
      <c r="E21" s="25"/>
      <c r="F21" s="25"/>
      <c r="G21" s="25"/>
    </row>
    <row r="22" spans="1:7" x14ac:dyDescent="0.35">
      <c r="A22" s="25" t="s">
        <v>98</v>
      </c>
      <c r="B22" s="25">
        <f>B12-B19</f>
        <v>513.5</v>
      </c>
      <c r="C22" s="25">
        <f>C12-C19</f>
        <v>513.5</v>
      </c>
      <c r="D22" s="25">
        <f t="shared" ref="D22:G22" si="0">D12-D19</f>
        <v>513.5</v>
      </c>
      <c r="E22" s="25">
        <f t="shared" si="0"/>
        <v>513.5</v>
      </c>
      <c r="F22" s="25">
        <f t="shared" si="0"/>
        <v>513.5</v>
      </c>
      <c r="G22" s="25">
        <f t="shared" si="0"/>
        <v>513.5</v>
      </c>
    </row>
    <row r="23" spans="1:7" x14ac:dyDescent="0.35">
      <c r="A23" s="25" t="s">
        <v>99</v>
      </c>
      <c r="B23" s="25">
        <f>SUM(B21:B22)</f>
        <v>4463.5</v>
      </c>
      <c r="C23" s="25">
        <f>SUM(C21:C22)</f>
        <v>513.5</v>
      </c>
      <c r="D23" s="25">
        <f t="shared" ref="D23:G23" si="1">SUM(D21:D22)</f>
        <v>513.5</v>
      </c>
      <c r="E23" s="25">
        <f t="shared" si="1"/>
        <v>513.5</v>
      </c>
      <c r="F23" s="25">
        <f t="shared" si="1"/>
        <v>513.5</v>
      </c>
      <c r="G23" s="25">
        <f t="shared" si="1"/>
        <v>513.5</v>
      </c>
    </row>
    <row r="24" spans="1:7" x14ac:dyDescent="0.35">
      <c r="A24" s="25" t="s">
        <v>100</v>
      </c>
      <c r="B24" s="25">
        <f>-B23/(1+B14)^0</f>
        <v>-4463.5</v>
      </c>
      <c r="C24" s="25">
        <f>(-C23)/(1+$B$14)^C10</f>
        <v>-471.10091743119261</v>
      </c>
      <c r="D24" s="25">
        <f t="shared" ref="D24:G24" si="2">(-D23)/(1+$B$14)^D10</f>
        <v>-432.20267654237853</v>
      </c>
      <c r="E24" s="25">
        <f t="shared" si="2"/>
        <v>-396.51621701135645</v>
      </c>
      <c r="F24" s="25">
        <f t="shared" si="2"/>
        <v>-363.77634588197839</v>
      </c>
      <c r="G24" s="25">
        <f t="shared" si="2"/>
        <v>-333.73976686420031</v>
      </c>
    </row>
    <row r="25" spans="1:7" x14ac:dyDescent="0.35">
      <c r="A25" s="25" t="s">
        <v>101</v>
      </c>
      <c r="B25" s="25">
        <f>SUM(B24:G24)</f>
        <v>-6460.835923731107</v>
      </c>
      <c r="C25" s="25"/>
      <c r="D25" s="25"/>
      <c r="E25" s="25"/>
      <c r="F25" s="25"/>
      <c r="G25" s="25"/>
    </row>
    <row r="27" spans="1:7" x14ac:dyDescent="0.35">
      <c r="A27" s="1" t="s">
        <v>102</v>
      </c>
    </row>
    <row r="29" spans="1:7" x14ac:dyDescent="0.35">
      <c r="A29" t="s">
        <v>103</v>
      </c>
      <c r="D29" t="s">
        <v>104</v>
      </c>
    </row>
    <row r="30" spans="1:7" x14ac:dyDescent="0.35">
      <c r="A30" t="s">
        <v>105</v>
      </c>
    </row>
    <row r="31" spans="1:7" x14ac:dyDescent="0.35">
      <c r="A31" t="s">
        <v>106</v>
      </c>
      <c r="D31" t="s">
        <v>136</v>
      </c>
    </row>
    <row r="35" spans="1:4" x14ac:dyDescent="0.35">
      <c r="A35" s="1" t="s">
        <v>107</v>
      </c>
      <c r="D35" s="2">
        <f>-B25/((1/B14-1/(B14*(1+B14)^6))*(1+B14))</f>
        <v>1321.3285724803175</v>
      </c>
    </row>
    <row r="36" spans="1:4" x14ac:dyDescent="0.35">
      <c r="D36" s="2">
        <f>PMT(B14,B16,B25,,1)</f>
        <v>1321.3285724803175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Q1</vt:lpstr>
      <vt:lpstr>Q2</vt:lpstr>
      <vt:lpstr>Q4</vt:lpstr>
      <vt:lpstr>Q5</vt:lpstr>
      <vt:lpstr>Q6</vt:lpstr>
      <vt:lpstr>Q7</vt:lpstr>
      <vt:lpstr>Q8</vt:lpstr>
      <vt:lpstr>Q9</vt:lpstr>
      <vt:lpstr>Q10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Dajana Draganic</dc:creator>
  <cp:lastModifiedBy>Dajana Draganic</cp:lastModifiedBy>
  <dcterms:created xsi:type="dcterms:W3CDTF">2015-06-05T18:17:20Z</dcterms:created>
  <dcterms:modified xsi:type="dcterms:W3CDTF">2022-06-17T07:45:13Z</dcterms:modified>
</cp:coreProperties>
</file>